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WP07 integrated modelling\STEM_Coupling\STEM_LCA\Exchanges Sep - Nov 2024\"/>
    </mc:Choice>
  </mc:AlternateContent>
  <xr:revisionPtr revIDLastSave="0" documentId="13_ncr:1_{C709DB98-41E5-4278-9DE0-797ECC793127}" xr6:coauthVersionLast="47" xr6:coauthVersionMax="47" xr10:uidLastSave="{00000000-0000-0000-0000-000000000000}"/>
  <bookViews>
    <workbookView xWindow="-110" yWindow="-110" windowWidth="29020" windowHeight="15700" activeTab="1" xr2:uid="{FF64AF30-3015-1142-92FA-2A2ED079457A}"/>
  </bookViews>
  <sheets>
    <sheet name="Variable_List" sheetId="2" r:id="rId1"/>
    <sheet name="SPS4" sheetId="1" r:id="rId2"/>
    <sheet name="check" sheetId="4" r:id="rId3"/>
  </sheets>
  <externalReferences>
    <externalReference r:id="rId4"/>
  </externalReferences>
  <definedNames>
    <definedName name="_xlnm._FilterDatabase" localSheetId="1" hidden="1">'SPS4'!$A$1:$K$1753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335" i="1" l="1" a="1"/>
  <c r="K2335" i="1" s="1"/>
  <c r="J2335" i="1" a="1"/>
  <c r="J2335" i="1" s="1"/>
  <c r="I2335" i="1" a="1"/>
  <c r="I2335" i="1" s="1"/>
  <c r="H2335" i="1" a="1"/>
  <c r="H2335" i="1" s="1"/>
  <c r="G2335" i="1" a="1"/>
  <c r="G2335" i="1" s="1"/>
  <c r="F2335" i="1" a="1"/>
  <c r="F2335" i="1" s="1"/>
  <c r="K2334" i="1" a="1"/>
  <c r="K2334" i="1" s="1"/>
  <c r="J2334" i="1" a="1"/>
  <c r="J2334" i="1" s="1"/>
  <c r="I2334" i="1" a="1"/>
  <c r="I2334" i="1" s="1"/>
  <c r="H2334" i="1" a="1"/>
  <c r="H2334" i="1" s="1"/>
  <c r="G2334" i="1" a="1"/>
  <c r="G2334" i="1" s="1"/>
  <c r="F2334" i="1" a="1"/>
  <c r="F2334" i="1" s="1"/>
  <c r="K2333" i="1" a="1"/>
  <c r="K2333" i="1" s="1"/>
  <c r="J2333" i="1" a="1"/>
  <c r="J2333" i="1" s="1"/>
  <c r="I2333" i="1" a="1"/>
  <c r="I2333" i="1" s="1"/>
  <c r="H2333" i="1" a="1"/>
  <c r="H2333" i="1" s="1"/>
  <c r="G2333" i="1" a="1"/>
  <c r="G2333" i="1" s="1"/>
  <c r="F2333" i="1" a="1"/>
  <c r="F2333" i="1" s="1"/>
  <c r="K2332" i="1" a="1"/>
  <c r="K2332" i="1" s="1"/>
  <c r="J2332" i="1" a="1"/>
  <c r="J2332" i="1" s="1"/>
  <c r="I2332" i="1" a="1"/>
  <c r="I2332" i="1" s="1"/>
  <c r="H2332" i="1" a="1"/>
  <c r="H2332" i="1" s="1"/>
  <c r="G2332" i="1" a="1"/>
  <c r="G2332" i="1" s="1"/>
  <c r="F2332" i="1" a="1"/>
  <c r="F2332" i="1" s="1"/>
  <c r="K2331" i="1" a="1"/>
  <c r="K2331" i="1" s="1"/>
  <c r="J2331" i="1" a="1"/>
  <c r="J2331" i="1" s="1"/>
  <c r="I2331" i="1" a="1"/>
  <c r="I2331" i="1" s="1"/>
  <c r="H2331" i="1" a="1"/>
  <c r="H2331" i="1" s="1"/>
  <c r="G2331" i="1" a="1"/>
  <c r="G2331" i="1" s="1"/>
  <c r="F2331" i="1" a="1"/>
  <c r="F2331" i="1" s="1"/>
  <c r="K2330" i="1" a="1"/>
  <c r="K2330" i="1" s="1"/>
  <c r="J2330" i="1" a="1"/>
  <c r="J2330" i="1" s="1"/>
  <c r="I2330" i="1" a="1"/>
  <c r="I2330" i="1" s="1"/>
  <c r="H2330" i="1" a="1"/>
  <c r="H2330" i="1" s="1"/>
  <c r="G2330" i="1" a="1"/>
  <c r="G2330" i="1" s="1"/>
  <c r="F2330" i="1" a="1"/>
  <c r="F2330" i="1" s="1"/>
  <c r="K2329" i="1" a="1"/>
  <c r="K2329" i="1" s="1"/>
  <c r="J2329" i="1" a="1"/>
  <c r="J2329" i="1" s="1"/>
  <c r="I2329" i="1" a="1"/>
  <c r="I2329" i="1" s="1"/>
  <c r="H2329" i="1" a="1"/>
  <c r="H2329" i="1" s="1"/>
  <c r="G2329" i="1" a="1"/>
  <c r="G2329" i="1" s="1"/>
  <c r="F2329" i="1" a="1"/>
  <c r="F2329" i="1" s="1"/>
  <c r="K2328" i="1" a="1"/>
  <c r="K2328" i="1" s="1"/>
  <c r="J2328" i="1" a="1"/>
  <c r="J2328" i="1" s="1"/>
  <c r="I2328" i="1" a="1"/>
  <c r="I2328" i="1" s="1"/>
  <c r="H2328" i="1" a="1"/>
  <c r="H2328" i="1" s="1"/>
  <c r="G2328" i="1" a="1"/>
  <c r="G2328" i="1" s="1"/>
  <c r="F2328" i="1" a="1"/>
  <c r="F2328" i="1" s="1"/>
  <c r="K2327" i="1" a="1"/>
  <c r="K2327" i="1" s="1"/>
  <c r="J2327" i="1" a="1"/>
  <c r="J2327" i="1" s="1"/>
  <c r="I2327" i="1" a="1"/>
  <c r="I2327" i="1" s="1"/>
  <c r="H2327" i="1" a="1"/>
  <c r="H2327" i="1" s="1"/>
  <c r="G2327" i="1" a="1"/>
  <c r="G2327" i="1" s="1"/>
  <c r="F2327" i="1" a="1"/>
  <c r="F2327" i="1" s="1"/>
  <c r="K2326" i="1" a="1"/>
  <c r="K2326" i="1" s="1"/>
  <c r="J2326" i="1" a="1"/>
  <c r="J2326" i="1" s="1"/>
  <c r="I2326" i="1" a="1"/>
  <c r="I2326" i="1" s="1"/>
  <c r="H2326" i="1" a="1"/>
  <c r="H2326" i="1" s="1"/>
  <c r="G2326" i="1" a="1"/>
  <c r="G2326" i="1" s="1"/>
  <c r="F2326" i="1" a="1"/>
  <c r="F2326" i="1" s="1"/>
  <c r="K2325" i="1" a="1"/>
  <c r="K2325" i="1" s="1"/>
  <c r="J2325" i="1" a="1"/>
  <c r="J2325" i="1" s="1"/>
  <c r="I2325" i="1" a="1"/>
  <c r="I2325" i="1" s="1"/>
  <c r="H2325" i="1" a="1"/>
  <c r="H2325" i="1" s="1"/>
  <c r="G2325" i="1" a="1"/>
  <c r="G2325" i="1" s="1"/>
  <c r="F2325" i="1" a="1"/>
  <c r="F2325" i="1" s="1"/>
  <c r="K2324" i="1" a="1"/>
  <c r="K2324" i="1" s="1"/>
  <c r="J2324" i="1" a="1"/>
  <c r="J2324" i="1" s="1"/>
  <c r="I2324" i="1" a="1"/>
  <c r="I2324" i="1" s="1"/>
  <c r="H2324" i="1" a="1"/>
  <c r="H2324" i="1" s="1"/>
  <c r="G2324" i="1" a="1"/>
  <c r="G2324" i="1" s="1"/>
  <c r="F2324" i="1" a="1"/>
  <c r="F2324" i="1" s="1"/>
  <c r="K2323" i="1" a="1"/>
  <c r="K2323" i="1" s="1"/>
  <c r="J2323" i="1" a="1"/>
  <c r="J2323" i="1" s="1"/>
  <c r="I2323" i="1" a="1"/>
  <c r="I2323" i="1" s="1"/>
  <c r="H2323" i="1" a="1"/>
  <c r="H2323" i="1" s="1"/>
  <c r="G2323" i="1" a="1"/>
  <c r="G2323" i="1" s="1"/>
  <c r="F2323" i="1" a="1"/>
  <c r="F2323" i="1" s="1"/>
  <c r="K2322" i="1" a="1"/>
  <c r="K2322" i="1" s="1"/>
  <c r="J2322" i="1" a="1"/>
  <c r="J2322" i="1" s="1"/>
  <c r="I2322" i="1" a="1"/>
  <c r="I2322" i="1" s="1"/>
  <c r="H2322" i="1" a="1"/>
  <c r="H2322" i="1" s="1"/>
  <c r="G2322" i="1" a="1"/>
  <c r="G2322" i="1" s="1"/>
  <c r="F2322" i="1" a="1"/>
  <c r="F2322" i="1" s="1"/>
  <c r="K2321" i="1" a="1"/>
  <c r="K2321" i="1" s="1"/>
  <c r="J2321" i="1" a="1"/>
  <c r="J2321" i="1" s="1"/>
  <c r="I2321" i="1" a="1"/>
  <c r="I2321" i="1" s="1"/>
  <c r="H2321" i="1" a="1"/>
  <c r="H2321" i="1" s="1"/>
  <c r="G2321" i="1" a="1"/>
  <c r="G2321" i="1" s="1"/>
  <c r="F2321" i="1" a="1"/>
  <c r="F2321" i="1" s="1"/>
  <c r="K2320" i="1" a="1"/>
  <c r="K2320" i="1" s="1"/>
  <c r="J2320" i="1" a="1"/>
  <c r="J2320" i="1" s="1"/>
  <c r="I2320" i="1" a="1"/>
  <c r="I2320" i="1" s="1"/>
  <c r="H2320" i="1" a="1"/>
  <c r="H2320" i="1" s="1"/>
  <c r="G2320" i="1" a="1"/>
  <c r="G2320" i="1" s="1"/>
  <c r="F2320" i="1" a="1"/>
  <c r="F2320" i="1" s="1"/>
  <c r="K2318" i="1" a="1"/>
  <c r="K2318" i="1" s="1"/>
  <c r="K2317" i="1" s="1" a="1"/>
  <c r="K2317" i="1" s="1"/>
  <c r="K2316" i="1" s="1"/>
  <c r="J2318" i="1" a="1"/>
  <c r="J2318" i="1" s="1"/>
  <c r="J2317" i="1" s="1" a="1"/>
  <c r="J2317" i="1" s="1"/>
  <c r="J2316" i="1" s="1"/>
  <c r="I2318" i="1" a="1"/>
  <c r="I2318" i="1" s="1"/>
  <c r="I2317" i="1" s="1" a="1"/>
  <c r="I2317" i="1" s="1"/>
  <c r="I2316" i="1" s="1"/>
  <c r="H2318" i="1" a="1"/>
  <c r="H2318" i="1" s="1"/>
  <c r="H2317" i="1" s="1" a="1"/>
  <c r="H2317" i="1" s="1"/>
  <c r="H2316" i="1" s="1"/>
  <c r="G2318" i="1" a="1"/>
  <c r="G2318" i="1" s="1"/>
  <c r="G2317" i="1" s="1" a="1"/>
  <c r="G2317" i="1" s="1"/>
  <c r="G2316" i="1" s="1"/>
  <c r="F2318" i="1" a="1"/>
  <c r="F2318" i="1" s="1"/>
  <c r="F2317" i="1" s="1" a="1"/>
  <c r="F2317" i="1" s="1"/>
  <c r="F2316" i="1" s="1"/>
  <c r="K2315" i="1" a="1"/>
  <c r="K2315" i="1" s="1"/>
  <c r="K2314" i="1" s="1" a="1"/>
  <c r="K2314" i="1" s="1"/>
  <c r="K2313" i="1" s="1"/>
  <c r="J2315" i="1" a="1"/>
  <c r="J2315" i="1" s="1"/>
  <c r="J2314" i="1" s="1" a="1"/>
  <c r="J2314" i="1" s="1"/>
  <c r="J2313" i="1" s="1"/>
  <c r="I2315" i="1" a="1"/>
  <c r="I2315" i="1" s="1"/>
  <c r="I2314" i="1" s="1" a="1"/>
  <c r="I2314" i="1" s="1"/>
  <c r="I2313" i="1" s="1"/>
  <c r="H2315" i="1" a="1"/>
  <c r="H2315" i="1" s="1"/>
  <c r="H2314" i="1" s="1" a="1"/>
  <c r="H2314" i="1" s="1"/>
  <c r="H2313" i="1" s="1"/>
  <c r="G2315" i="1" a="1"/>
  <c r="G2315" i="1" s="1"/>
  <c r="G2314" i="1" s="1" a="1"/>
  <c r="G2314" i="1" s="1"/>
  <c r="G2313" i="1" s="1"/>
  <c r="F2315" i="1" a="1"/>
  <c r="F2315" i="1" s="1"/>
  <c r="F2314" i="1" s="1" a="1"/>
  <c r="F2314" i="1" s="1"/>
  <c r="F2313" i="1" s="1"/>
  <c r="K2312" i="1" a="1"/>
  <c r="K2312" i="1" s="1"/>
  <c r="J2312" i="1" a="1"/>
  <c r="J2312" i="1" s="1"/>
  <c r="I2312" i="1" a="1"/>
  <c r="I2312" i="1" s="1"/>
  <c r="H2312" i="1" a="1"/>
  <c r="H2312" i="1" s="1"/>
  <c r="G2312" i="1" a="1"/>
  <c r="G2312" i="1" s="1"/>
  <c r="F2312" i="1" a="1"/>
  <c r="F2312" i="1" s="1"/>
  <c r="K2311" i="1" a="1"/>
  <c r="K2311" i="1" s="1"/>
  <c r="J2311" i="1" a="1"/>
  <c r="J2311" i="1" s="1"/>
  <c r="I2311" i="1" a="1"/>
  <c r="I2311" i="1" s="1"/>
  <c r="H2311" i="1" a="1"/>
  <c r="H2311" i="1" s="1"/>
  <c r="G2311" i="1" a="1"/>
  <c r="G2311" i="1" s="1"/>
  <c r="F2311" i="1" a="1"/>
  <c r="F2311" i="1" s="1"/>
  <c r="K2309" i="1" a="1"/>
  <c r="K2309" i="1" s="1"/>
  <c r="J2309" i="1" a="1"/>
  <c r="J2309" i="1" s="1"/>
  <c r="I2309" i="1" a="1"/>
  <c r="I2309" i="1" s="1"/>
  <c r="H2309" i="1" a="1"/>
  <c r="H2309" i="1" s="1"/>
  <c r="G2309" i="1" a="1"/>
  <c r="G2309" i="1" s="1"/>
  <c r="F2309" i="1" a="1"/>
  <c r="F2309" i="1" s="1"/>
  <c r="K2307" i="1" a="1"/>
  <c r="K2307" i="1" s="1"/>
  <c r="K2306" i="1" s="1"/>
  <c r="J2307" i="1" a="1"/>
  <c r="J2307" i="1" s="1"/>
  <c r="J2306" i="1" s="1"/>
  <c r="I2307" i="1" a="1"/>
  <c r="I2307" i="1" s="1"/>
  <c r="I2306" i="1" s="1"/>
  <c r="H2307" i="1" a="1"/>
  <c r="H2307" i="1" s="1"/>
  <c r="H2306" i="1" s="1"/>
  <c r="G2307" i="1" a="1"/>
  <c r="G2307" i="1" s="1"/>
  <c r="G2306" i="1" s="1"/>
  <c r="F2307" i="1" a="1"/>
  <c r="F2307" i="1" s="1"/>
  <c r="F2306" i="1" s="1"/>
  <c r="K2305" i="1" a="1"/>
  <c r="K2305" i="1" s="1"/>
  <c r="K2304" i="1" s="1"/>
  <c r="J2305" i="1" a="1"/>
  <c r="J2305" i="1" s="1"/>
  <c r="J2304" i="1" s="1"/>
  <c r="I2305" i="1" a="1"/>
  <c r="I2305" i="1" s="1"/>
  <c r="I2304" i="1" s="1"/>
  <c r="H2305" i="1" a="1"/>
  <c r="H2305" i="1" s="1"/>
  <c r="H2304" i="1" s="1"/>
  <c r="G2305" i="1" a="1"/>
  <c r="G2305" i="1" s="1"/>
  <c r="G2304" i="1" s="1"/>
  <c r="F2305" i="1" a="1"/>
  <c r="F2305" i="1" s="1"/>
  <c r="F2304" i="1" s="1"/>
  <c r="K2303" i="1" a="1"/>
  <c r="K2303" i="1" s="1"/>
  <c r="K2302" i="1" s="1"/>
  <c r="J2303" i="1" a="1"/>
  <c r="J2303" i="1" s="1"/>
  <c r="J2302" i="1" s="1"/>
  <c r="I2303" i="1" a="1"/>
  <c r="I2303" i="1" s="1"/>
  <c r="I2302" i="1" s="1"/>
  <c r="H2303" i="1" a="1"/>
  <c r="H2303" i="1" s="1"/>
  <c r="H2302" i="1" s="1"/>
  <c r="G2303" i="1" a="1"/>
  <c r="G2303" i="1" s="1"/>
  <c r="G2302" i="1" s="1"/>
  <c r="F2303" i="1" a="1"/>
  <c r="F2303" i="1" s="1"/>
  <c r="F2302" i="1" s="1"/>
  <c r="K2301" i="1" a="1"/>
  <c r="K2301" i="1" s="1"/>
  <c r="K2300" i="1" s="1"/>
  <c r="J2301" i="1" a="1"/>
  <c r="J2301" i="1" s="1"/>
  <c r="J2300" i="1" s="1"/>
  <c r="I2301" i="1" a="1"/>
  <c r="I2301" i="1" s="1"/>
  <c r="I2300" i="1" s="1"/>
  <c r="H2301" i="1" a="1"/>
  <c r="H2301" i="1" s="1"/>
  <c r="H2300" i="1" s="1"/>
  <c r="G2301" i="1" a="1"/>
  <c r="G2301" i="1" s="1"/>
  <c r="G2300" i="1" s="1"/>
  <c r="F2301" i="1" a="1"/>
  <c r="F2301" i="1" s="1"/>
  <c r="F2300" i="1" s="1"/>
  <c r="K2299" i="1" a="1"/>
  <c r="K2299" i="1" s="1"/>
  <c r="J2299" i="1" a="1"/>
  <c r="J2299" i="1" s="1"/>
  <c r="I2299" i="1" a="1"/>
  <c r="I2299" i="1" s="1"/>
  <c r="H2299" i="1" a="1"/>
  <c r="H2299" i="1" s="1"/>
  <c r="G2299" i="1" a="1"/>
  <c r="G2299" i="1" s="1"/>
  <c r="F2299" i="1" a="1"/>
  <c r="F2299" i="1" s="1"/>
  <c r="K2298" i="1" a="1"/>
  <c r="K2298" i="1" s="1"/>
  <c r="J2298" i="1" a="1"/>
  <c r="J2298" i="1" s="1"/>
  <c r="I2298" i="1" a="1"/>
  <c r="I2298" i="1" s="1"/>
  <c r="H2298" i="1" a="1"/>
  <c r="H2298" i="1" s="1"/>
  <c r="G2298" i="1" a="1"/>
  <c r="G2298" i="1" s="1"/>
  <c r="F2298" i="1" a="1"/>
  <c r="F2298" i="1" s="1"/>
  <c r="K2297" i="1" a="1"/>
  <c r="K2297" i="1" s="1"/>
  <c r="K2296" i="1" s="1"/>
  <c r="J2297" i="1" a="1"/>
  <c r="J2297" i="1" s="1"/>
  <c r="J2296" i="1" s="1"/>
  <c r="I2297" i="1" a="1"/>
  <c r="I2297" i="1" s="1"/>
  <c r="I2296" i="1" s="1"/>
  <c r="H2297" i="1" a="1"/>
  <c r="H2297" i="1" s="1"/>
  <c r="H2296" i="1" s="1"/>
  <c r="G2297" i="1" a="1"/>
  <c r="G2297" i="1" s="1"/>
  <c r="G2296" i="1" s="1"/>
  <c r="F2297" i="1" a="1"/>
  <c r="F2297" i="1" s="1"/>
  <c r="F2296" i="1" s="1"/>
  <c r="K2295" i="1" a="1"/>
  <c r="K2295" i="1" s="1"/>
  <c r="K2294" i="1" s="1"/>
  <c r="J2295" i="1" a="1"/>
  <c r="J2295" i="1" s="1"/>
  <c r="J2294" i="1" s="1"/>
  <c r="I2295" i="1" a="1"/>
  <c r="I2295" i="1" s="1"/>
  <c r="I2294" i="1" s="1"/>
  <c r="H2295" i="1" a="1"/>
  <c r="H2295" i="1" s="1"/>
  <c r="H2294" i="1" s="1"/>
  <c r="G2295" i="1" a="1"/>
  <c r="G2295" i="1" s="1"/>
  <c r="G2294" i="1" s="1"/>
  <c r="F2295" i="1" a="1"/>
  <c r="F2295" i="1" s="1"/>
  <c r="F2294" i="1" s="1"/>
  <c r="K2293" i="1" a="1"/>
  <c r="K2293" i="1" s="1"/>
  <c r="J2293" i="1" a="1"/>
  <c r="J2293" i="1" s="1"/>
  <c r="I2293" i="1" a="1"/>
  <c r="I2293" i="1" s="1"/>
  <c r="H2293" i="1" a="1"/>
  <c r="H2293" i="1" s="1"/>
  <c r="G2293" i="1" a="1"/>
  <c r="G2293" i="1" s="1"/>
  <c r="F2293" i="1" a="1"/>
  <c r="F2293" i="1" s="1"/>
  <c r="K2292" i="1" a="1"/>
  <c r="K2292" i="1" s="1"/>
  <c r="K2291" i="1" s="1"/>
  <c r="K2290" i="1" s="1"/>
  <c r="J2292" i="1" a="1"/>
  <c r="J2292" i="1" s="1"/>
  <c r="J2291" i="1" s="1"/>
  <c r="J2290" i="1" s="1"/>
  <c r="I2292" i="1" a="1"/>
  <c r="I2292" i="1" s="1"/>
  <c r="H2292" i="1" a="1"/>
  <c r="H2292" i="1" s="1"/>
  <c r="G2292" i="1" a="1"/>
  <c r="G2292" i="1" s="1"/>
  <c r="G2291" i="1" s="1"/>
  <c r="G2290" i="1" s="1"/>
  <c r="F2292" i="1" a="1"/>
  <c r="F2292" i="1" s="1"/>
  <c r="F2291" i="1" s="1"/>
  <c r="F2290" i="1" s="1"/>
  <c r="K2289" i="1" a="1"/>
  <c r="K2289" i="1" s="1"/>
  <c r="K2288" i="1" s="1"/>
  <c r="J2289" i="1" a="1"/>
  <c r="J2289" i="1" s="1"/>
  <c r="J2288" i="1" s="1"/>
  <c r="I2289" i="1" a="1"/>
  <c r="I2289" i="1" s="1"/>
  <c r="I2288" i="1" s="1"/>
  <c r="H2289" i="1" a="1"/>
  <c r="H2289" i="1" s="1"/>
  <c r="H2288" i="1" s="1"/>
  <c r="G2289" i="1" a="1"/>
  <c r="G2289" i="1" s="1"/>
  <c r="G2288" i="1" s="1"/>
  <c r="F2289" i="1" a="1"/>
  <c r="F2289" i="1" s="1"/>
  <c r="F2288" i="1" s="1"/>
  <c r="K2287" i="1" a="1"/>
  <c r="K2287" i="1" s="1"/>
  <c r="K2286" i="1" s="1"/>
  <c r="J2287" i="1" a="1"/>
  <c r="J2287" i="1" s="1"/>
  <c r="J2286" i="1" s="1"/>
  <c r="I2287" i="1" a="1"/>
  <c r="I2287" i="1" s="1"/>
  <c r="I2286" i="1" s="1"/>
  <c r="H2287" i="1" a="1"/>
  <c r="H2287" i="1" s="1"/>
  <c r="H2286" i="1" s="1"/>
  <c r="G2287" i="1" a="1"/>
  <c r="G2287" i="1" s="1"/>
  <c r="G2286" i="1" s="1"/>
  <c r="F2287" i="1" a="1"/>
  <c r="F2287" i="1" s="1"/>
  <c r="F2286" i="1" s="1"/>
  <c r="K2285" i="1" a="1"/>
  <c r="K2285" i="1" s="1"/>
  <c r="K2284" i="1" s="1"/>
  <c r="J2285" i="1" a="1"/>
  <c r="J2285" i="1" s="1"/>
  <c r="J2284" i="1" s="1"/>
  <c r="I2285" i="1" a="1"/>
  <c r="I2285" i="1" s="1"/>
  <c r="I2284" i="1" s="1"/>
  <c r="H2285" i="1" a="1"/>
  <c r="H2285" i="1" s="1"/>
  <c r="H2284" i="1" s="1"/>
  <c r="G2285" i="1" a="1"/>
  <c r="G2285" i="1" s="1"/>
  <c r="G2284" i="1" s="1"/>
  <c r="F2285" i="1" a="1"/>
  <c r="F2285" i="1" s="1"/>
  <c r="F2284" i="1" s="1"/>
  <c r="K2283" i="1" a="1"/>
  <c r="K2283" i="1" s="1"/>
  <c r="K2282" i="1" s="1"/>
  <c r="J2283" i="1" a="1"/>
  <c r="J2283" i="1" s="1"/>
  <c r="J2282" i="1" s="1"/>
  <c r="I2283" i="1" a="1"/>
  <c r="I2283" i="1" s="1"/>
  <c r="I2282" i="1" s="1"/>
  <c r="H2283" i="1" a="1"/>
  <c r="H2283" i="1" s="1"/>
  <c r="H2282" i="1" s="1"/>
  <c r="G2283" i="1" a="1"/>
  <c r="G2283" i="1" s="1"/>
  <c r="G2282" i="1" s="1"/>
  <c r="F2283" i="1" a="1"/>
  <c r="F2283" i="1" s="1"/>
  <c r="F2282" i="1" s="1"/>
  <c r="K2281" i="1" a="1"/>
  <c r="K2281" i="1" s="1"/>
  <c r="K2280" i="1" s="1"/>
  <c r="J2281" i="1" a="1"/>
  <c r="J2281" i="1" s="1"/>
  <c r="J2280" i="1" s="1"/>
  <c r="I2281" i="1" a="1"/>
  <c r="I2281" i="1" s="1"/>
  <c r="I2280" i="1" s="1"/>
  <c r="H2281" i="1" a="1"/>
  <c r="H2281" i="1" s="1"/>
  <c r="H2280" i="1" s="1"/>
  <c r="G2281" i="1" a="1"/>
  <c r="G2281" i="1" s="1"/>
  <c r="G2280" i="1" s="1"/>
  <c r="F2281" i="1" a="1"/>
  <c r="F2281" i="1" s="1"/>
  <c r="F2280" i="1" s="1"/>
  <c r="K2279" i="1" a="1"/>
  <c r="K2279" i="1" s="1"/>
  <c r="K2278" i="1" s="1"/>
  <c r="J2279" i="1" a="1"/>
  <c r="J2279" i="1" s="1"/>
  <c r="J2278" i="1" s="1"/>
  <c r="I2279" i="1" a="1"/>
  <c r="I2279" i="1" s="1"/>
  <c r="I2278" i="1" s="1"/>
  <c r="H2279" i="1" a="1"/>
  <c r="H2279" i="1" s="1"/>
  <c r="H2278" i="1" s="1"/>
  <c r="G2279" i="1" a="1"/>
  <c r="G2279" i="1" s="1"/>
  <c r="G2278" i="1" s="1"/>
  <c r="F2279" i="1" a="1"/>
  <c r="F2279" i="1" s="1"/>
  <c r="F2278" i="1" s="1"/>
  <c r="K2277" i="1" a="1"/>
  <c r="K2277" i="1" s="1"/>
  <c r="J2277" i="1" a="1"/>
  <c r="J2277" i="1" s="1"/>
  <c r="I2277" i="1" a="1"/>
  <c r="I2277" i="1" s="1"/>
  <c r="H2277" i="1" a="1"/>
  <c r="H2277" i="1" s="1"/>
  <c r="G2277" i="1" a="1"/>
  <c r="G2277" i="1" s="1"/>
  <c r="F2277" i="1" a="1"/>
  <c r="F2277" i="1" s="1"/>
  <c r="K2276" i="1" a="1"/>
  <c r="K2276" i="1" s="1"/>
  <c r="J2276" i="1" a="1"/>
  <c r="J2276" i="1" s="1"/>
  <c r="I2276" i="1" a="1"/>
  <c r="I2276" i="1" s="1"/>
  <c r="H2276" i="1" a="1"/>
  <c r="H2276" i="1" s="1"/>
  <c r="G2276" i="1" a="1"/>
  <c r="G2276" i="1" s="1"/>
  <c r="F2276" i="1" a="1"/>
  <c r="F2276" i="1" s="1"/>
  <c r="K2275" i="1" a="1"/>
  <c r="K2275" i="1" s="1"/>
  <c r="K2274" i="1" s="1"/>
  <c r="J2275" i="1" a="1"/>
  <c r="J2275" i="1" s="1"/>
  <c r="J2274" i="1" s="1"/>
  <c r="I2275" i="1" a="1"/>
  <c r="I2275" i="1" s="1"/>
  <c r="I2274" i="1" s="1"/>
  <c r="H2275" i="1" a="1"/>
  <c r="H2275" i="1" s="1"/>
  <c r="H2274" i="1" s="1"/>
  <c r="G2275" i="1" a="1"/>
  <c r="G2275" i="1" s="1"/>
  <c r="G2274" i="1" s="1"/>
  <c r="F2275" i="1" a="1"/>
  <c r="F2275" i="1" s="1"/>
  <c r="F2274" i="1" s="1"/>
  <c r="K2273" i="1" a="1"/>
  <c r="K2273" i="1" s="1"/>
  <c r="J2273" i="1" a="1"/>
  <c r="J2273" i="1" s="1"/>
  <c r="I2273" i="1" a="1"/>
  <c r="I2273" i="1" s="1"/>
  <c r="H2273" i="1" a="1"/>
  <c r="H2273" i="1" s="1"/>
  <c r="G2273" i="1" a="1"/>
  <c r="G2273" i="1" s="1"/>
  <c r="F2273" i="1" a="1"/>
  <c r="F2273" i="1" s="1"/>
  <c r="K2272" i="1" a="1"/>
  <c r="K2272" i="1" s="1"/>
  <c r="K2271" i="1" s="1"/>
  <c r="J2272" i="1" a="1"/>
  <c r="J2272" i="1" s="1"/>
  <c r="J2271" i="1" s="1"/>
  <c r="I2272" i="1" a="1"/>
  <c r="I2272" i="1" s="1"/>
  <c r="I2271" i="1" s="1"/>
  <c r="H2272" i="1" a="1"/>
  <c r="H2272" i="1" s="1"/>
  <c r="H2271" i="1" s="1"/>
  <c r="G2272" i="1" a="1"/>
  <c r="G2272" i="1" s="1"/>
  <c r="G2271" i="1" s="1"/>
  <c r="F2272" i="1" a="1"/>
  <c r="F2272" i="1" s="1"/>
  <c r="F2271" i="1" s="1"/>
  <c r="K2270" i="1" a="1"/>
  <c r="K2270" i="1" s="1"/>
  <c r="J2270" i="1" a="1"/>
  <c r="J2270" i="1" s="1"/>
  <c r="I2270" i="1" a="1"/>
  <c r="I2270" i="1" s="1"/>
  <c r="H2270" i="1" a="1"/>
  <c r="H2270" i="1" s="1"/>
  <c r="G2270" i="1" a="1"/>
  <c r="G2270" i="1" s="1"/>
  <c r="F2270" i="1" a="1"/>
  <c r="F2270" i="1" s="1"/>
  <c r="K2269" i="1" a="1"/>
  <c r="K2269" i="1" s="1"/>
  <c r="K2268" i="1" s="1"/>
  <c r="K2267" i="1" s="1"/>
  <c r="J2269" i="1" a="1"/>
  <c r="J2269" i="1" s="1"/>
  <c r="J2268" i="1" s="1"/>
  <c r="J2267" i="1" s="1"/>
  <c r="I2269" i="1" a="1"/>
  <c r="I2269" i="1" s="1"/>
  <c r="I2268" i="1" s="1"/>
  <c r="I2267" i="1" s="1"/>
  <c r="H2269" i="1" a="1"/>
  <c r="H2269" i="1" s="1"/>
  <c r="H2268" i="1" s="1"/>
  <c r="H2267" i="1" s="1"/>
  <c r="G2269" i="1" a="1"/>
  <c r="G2269" i="1" s="1"/>
  <c r="G2268" i="1" s="1"/>
  <c r="G2267" i="1" s="1"/>
  <c r="F2269" i="1" a="1"/>
  <c r="F2269" i="1" s="1"/>
  <c r="F2268" i="1" s="1"/>
  <c r="F2267" i="1" s="1"/>
  <c r="K2266" i="1" a="1"/>
  <c r="K2266" i="1" s="1"/>
  <c r="K2265" i="1" s="1"/>
  <c r="J2266" i="1" a="1"/>
  <c r="J2266" i="1" s="1"/>
  <c r="J2265" i="1" s="1"/>
  <c r="I2266" i="1" a="1"/>
  <c r="I2266" i="1" s="1"/>
  <c r="I2265" i="1" s="1"/>
  <c r="H2266" i="1" a="1"/>
  <c r="H2266" i="1" s="1"/>
  <c r="H2265" i="1" s="1"/>
  <c r="G2266" i="1" a="1"/>
  <c r="G2266" i="1" s="1"/>
  <c r="G2265" i="1" s="1"/>
  <c r="F2266" i="1" a="1"/>
  <c r="F2266" i="1" s="1"/>
  <c r="F2265" i="1" s="1"/>
  <c r="K2264" i="1" a="1"/>
  <c r="K2264" i="1" s="1"/>
  <c r="K2263" i="1" s="1"/>
  <c r="J2264" i="1" a="1"/>
  <c r="J2264" i="1" s="1"/>
  <c r="J2263" i="1" s="1"/>
  <c r="I2264" i="1" a="1"/>
  <c r="I2264" i="1" s="1"/>
  <c r="I2263" i="1" s="1"/>
  <c r="H2264" i="1" a="1"/>
  <c r="H2264" i="1" s="1"/>
  <c r="H2263" i="1" s="1"/>
  <c r="G2264" i="1" a="1"/>
  <c r="G2264" i="1" s="1"/>
  <c r="G2263" i="1" s="1"/>
  <c r="F2264" i="1" a="1"/>
  <c r="F2264" i="1" s="1"/>
  <c r="F2263" i="1" s="1"/>
  <c r="K2262" i="1" a="1"/>
  <c r="K2262" i="1" s="1"/>
  <c r="K2261" i="1" s="1"/>
  <c r="J2262" i="1" a="1"/>
  <c r="J2262" i="1" s="1"/>
  <c r="J2261" i="1" s="1"/>
  <c r="I2262" i="1" a="1"/>
  <c r="I2262" i="1" s="1"/>
  <c r="I2261" i="1" s="1"/>
  <c r="H2262" i="1" a="1"/>
  <c r="H2262" i="1" s="1"/>
  <c r="H2261" i="1" s="1"/>
  <c r="G2262" i="1" a="1"/>
  <c r="G2262" i="1" s="1"/>
  <c r="G2261" i="1" s="1"/>
  <c r="F2262" i="1" a="1"/>
  <c r="F2262" i="1" s="1"/>
  <c r="F2261" i="1" s="1"/>
  <c r="K2260" i="1" a="1"/>
  <c r="K2260" i="1" s="1"/>
  <c r="K2259" i="1" s="1"/>
  <c r="J2260" i="1" a="1"/>
  <c r="J2260" i="1" s="1"/>
  <c r="J2259" i="1" s="1"/>
  <c r="I2260" i="1" a="1"/>
  <c r="I2260" i="1" s="1"/>
  <c r="I2259" i="1" s="1"/>
  <c r="H2260" i="1" a="1"/>
  <c r="H2260" i="1" s="1"/>
  <c r="H2259" i="1" s="1"/>
  <c r="G2260" i="1" a="1"/>
  <c r="G2260" i="1" s="1"/>
  <c r="G2259" i="1" s="1"/>
  <c r="F2260" i="1" a="1"/>
  <c r="F2260" i="1" s="1"/>
  <c r="F2259" i="1" s="1"/>
  <c r="K2258" i="1" a="1"/>
  <c r="K2258" i="1" s="1"/>
  <c r="K2257" i="1" s="1"/>
  <c r="J2258" i="1" a="1"/>
  <c r="J2258" i="1" s="1"/>
  <c r="J2257" i="1" s="1"/>
  <c r="I2258" i="1" a="1"/>
  <c r="I2258" i="1" s="1"/>
  <c r="I2257" i="1" s="1"/>
  <c r="H2258" i="1" a="1"/>
  <c r="H2258" i="1" s="1"/>
  <c r="H2257" i="1" s="1"/>
  <c r="G2258" i="1" a="1"/>
  <c r="G2258" i="1" s="1"/>
  <c r="G2257" i="1" s="1"/>
  <c r="F2258" i="1" a="1"/>
  <c r="F2258" i="1" s="1"/>
  <c r="F2257" i="1" s="1"/>
  <c r="K2256" i="1" a="1"/>
  <c r="K2256" i="1" s="1"/>
  <c r="J2256" i="1" a="1"/>
  <c r="J2256" i="1" s="1"/>
  <c r="I2256" i="1" a="1"/>
  <c r="I2256" i="1" s="1"/>
  <c r="H2256" i="1" a="1"/>
  <c r="H2256" i="1" s="1"/>
  <c r="G2256" i="1" a="1"/>
  <c r="G2256" i="1" s="1"/>
  <c r="F2256" i="1" a="1"/>
  <c r="F2256" i="1" s="1"/>
  <c r="K2255" i="1" a="1"/>
  <c r="K2255" i="1" s="1"/>
  <c r="K2254" i="1" s="1"/>
  <c r="J2255" i="1" a="1"/>
  <c r="J2255" i="1" s="1"/>
  <c r="J2254" i="1" s="1"/>
  <c r="I2255" i="1" a="1"/>
  <c r="I2255" i="1" s="1"/>
  <c r="I2254" i="1" s="1"/>
  <c r="H2255" i="1" a="1"/>
  <c r="H2255" i="1" s="1"/>
  <c r="H2254" i="1" s="1"/>
  <c r="G2255" i="1" a="1"/>
  <c r="G2255" i="1" s="1"/>
  <c r="G2254" i="1" s="1"/>
  <c r="F2255" i="1" a="1"/>
  <c r="F2255" i="1" s="1"/>
  <c r="F2254" i="1" s="1"/>
  <c r="K2253" i="1" a="1"/>
  <c r="K2253" i="1" s="1"/>
  <c r="K2252" i="1" s="1"/>
  <c r="J2253" i="1" a="1"/>
  <c r="J2253" i="1" s="1"/>
  <c r="J2252" i="1" s="1"/>
  <c r="I2253" i="1" a="1"/>
  <c r="I2253" i="1" s="1"/>
  <c r="I2252" i="1" s="1"/>
  <c r="H2253" i="1" a="1"/>
  <c r="H2253" i="1" s="1"/>
  <c r="H2252" i="1" s="1"/>
  <c r="G2253" i="1" a="1"/>
  <c r="G2253" i="1" s="1"/>
  <c r="G2252" i="1" s="1"/>
  <c r="F2253" i="1" a="1"/>
  <c r="F2253" i="1" s="1"/>
  <c r="F2252" i="1" s="1"/>
  <c r="K2251" i="1" a="1"/>
  <c r="K2251" i="1" s="1"/>
  <c r="J2251" i="1" a="1"/>
  <c r="J2251" i="1" s="1"/>
  <c r="I2251" i="1" a="1"/>
  <c r="I2251" i="1" s="1"/>
  <c r="H2251" i="1" a="1"/>
  <c r="H2251" i="1" s="1"/>
  <c r="G2251" i="1" a="1"/>
  <c r="G2251" i="1" s="1"/>
  <c r="F2251" i="1" a="1"/>
  <c r="F2251" i="1" s="1"/>
  <c r="K2250" i="1" a="1"/>
  <c r="K2250" i="1" s="1"/>
  <c r="K2249" i="1" s="1"/>
  <c r="K2248" i="1" s="1"/>
  <c r="J2250" i="1" a="1"/>
  <c r="J2250" i="1" s="1"/>
  <c r="J2249" i="1" s="1"/>
  <c r="J2248" i="1" s="1"/>
  <c r="I2250" i="1" a="1"/>
  <c r="I2250" i="1" s="1"/>
  <c r="I2249" i="1" s="1"/>
  <c r="I2248" i="1" s="1"/>
  <c r="H2250" i="1" a="1"/>
  <c r="H2250" i="1" s="1"/>
  <c r="H2249" i="1" s="1"/>
  <c r="H2248" i="1" s="1"/>
  <c r="G2250" i="1" a="1"/>
  <c r="G2250" i="1" s="1"/>
  <c r="G2249" i="1" s="1"/>
  <c r="G2248" i="1" s="1"/>
  <c r="F2250" i="1" a="1"/>
  <c r="F2250" i="1" s="1"/>
  <c r="F2249" i="1" s="1"/>
  <c r="F2248" i="1" s="1"/>
  <c r="K2247" i="1" a="1"/>
  <c r="K2247" i="1" s="1"/>
  <c r="K2246" i="1" s="1"/>
  <c r="J2247" i="1" a="1"/>
  <c r="J2247" i="1" s="1"/>
  <c r="J2246" i="1" s="1"/>
  <c r="I2247" i="1" a="1"/>
  <c r="I2247" i="1" s="1"/>
  <c r="I2246" i="1" s="1"/>
  <c r="H2247" i="1" a="1"/>
  <c r="H2247" i="1" s="1"/>
  <c r="H2246" i="1" s="1"/>
  <c r="G2247" i="1" a="1"/>
  <c r="G2247" i="1" s="1"/>
  <c r="G2246" i="1" s="1"/>
  <c r="F2247" i="1" a="1"/>
  <c r="F2247" i="1" s="1"/>
  <c r="F2246" i="1" s="1"/>
  <c r="K2245" i="1" a="1"/>
  <c r="K2245" i="1" s="1"/>
  <c r="K2244" i="1" s="1"/>
  <c r="J2245" i="1" a="1"/>
  <c r="J2245" i="1" s="1"/>
  <c r="J2244" i="1" s="1"/>
  <c r="I2245" i="1" a="1"/>
  <c r="I2245" i="1" s="1"/>
  <c r="I2244" i="1" s="1"/>
  <c r="H2245" i="1" a="1"/>
  <c r="H2245" i="1" s="1"/>
  <c r="H2244" i="1" s="1"/>
  <c r="G2245" i="1" a="1"/>
  <c r="G2245" i="1" s="1"/>
  <c r="G2244" i="1" s="1"/>
  <c r="F2245" i="1" a="1"/>
  <c r="F2245" i="1" s="1"/>
  <c r="F2244" i="1" s="1"/>
  <c r="K2243" i="1" a="1"/>
  <c r="K2243" i="1" s="1"/>
  <c r="K2242" i="1" s="1"/>
  <c r="J2243" i="1" a="1"/>
  <c r="J2243" i="1" s="1"/>
  <c r="J2242" i="1" s="1"/>
  <c r="I2243" i="1" a="1"/>
  <c r="I2243" i="1" s="1"/>
  <c r="I2242" i="1" s="1"/>
  <c r="H2243" i="1" a="1"/>
  <c r="H2243" i="1" s="1"/>
  <c r="H2242" i="1" s="1"/>
  <c r="G2243" i="1" a="1"/>
  <c r="G2243" i="1" s="1"/>
  <c r="G2242" i="1" s="1"/>
  <c r="F2243" i="1" a="1"/>
  <c r="F2243" i="1" s="1"/>
  <c r="F2242" i="1" s="1"/>
  <c r="K2241" i="1" a="1"/>
  <c r="K2241" i="1" s="1"/>
  <c r="K2240" i="1" s="1"/>
  <c r="J2241" i="1" a="1"/>
  <c r="J2241" i="1" s="1"/>
  <c r="J2240" i="1" s="1"/>
  <c r="I2241" i="1" a="1"/>
  <c r="I2241" i="1" s="1"/>
  <c r="I2240" i="1" s="1"/>
  <c r="H2241" i="1" a="1"/>
  <c r="H2241" i="1" s="1"/>
  <c r="H2240" i="1" s="1"/>
  <c r="G2241" i="1" a="1"/>
  <c r="G2241" i="1" s="1"/>
  <c r="G2240" i="1" s="1"/>
  <c r="F2241" i="1" a="1"/>
  <c r="F2241" i="1" s="1"/>
  <c r="F2240" i="1" s="1"/>
  <c r="K2239" i="1" a="1"/>
  <c r="K2239" i="1" s="1"/>
  <c r="K2238" i="1" s="1"/>
  <c r="J2239" i="1" a="1"/>
  <c r="J2239" i="1" s="1"/>
  <c r="J2238" i="1" s="1"/>
  <c r="I2239" i="1" a="1"/>
  <c r="I2239" i="1" s="1"/>
  <c r="I2238" i="1" s="1"/>
  <c r="H2239" i="1" a="1"/>
  <c r="H2239" i="1" s="1"/>
  <c r="H2238" i="1" s="1"/>
  <c r="G2239" i="1" a="1"/>
  <c r="G2239" i="1" s="1"/>
  <c r="G2238" i="1" s="1"/>
  <c r="F2239" i="1" a="1"/>
  <c r="F2239" i="1" s="1"/>
  <c r="F2238" i="1" s="1"/>
  <c r="K2237" i="1" a="1"/>
  <c r="K2237" i="1" s="1"/>
  <c r="J2237" i="1" a="1"/>
  <c r="J2237" i="1" s="1"/>
  <c r="I2237" i="1" a="1"/>
  <c r="I2237" i="1" s="1"/>
  <c r="H2237" i="1" a="1"/>
  <c r="H2237" i="1" s="1"/>
  <c r="G2237" i="1" a="1"/>
  <c r="G2237" i="1" s="1"/>
  <c r="F2237" i="1" a="1"/>
  <c r="F2237" i="1" s="1"/>
  <c r="K2236" i="1" a="1"/>
  <c r="K2236" i="1" s="1"/>
  <c r="K2235" i="1" s="1"/>
  <c r="J2236" i="1" a="1"/>
  <c r="J2236" i="1" s="1"/>
  <c r="J2235" i="1" s="1"/>
  <c r="I2236" i="1" a="1"/>
  <c r="I2236" i="1" s="1"/>
  <c r="I2235" i="1" s="1"/>
  <c r="H2236" i="1" a="1"/>
  <c r="H2236" i="1" s="1"/>
  <c r="H2235" i="1" s="1"/>
  <c r="G2236" i="1" a="1"/>
  <c r="G2236" i="1" s="1"/>
  <c r="G2235" i="1" s="1"/>
  <c r="F2236" i="1" a="1"/>
  <c r="F2236" i="1" s="1"/>
  <c r="F2235" i="1" s="1"/>
  <c r="K2234" i="1" a="1"/>
  <c r="K2234" i="1" s="1"/>
  <c r="K2233" i="1" s="1"/>
  <c r="J2234" i="1" a="1"/>
  <c r="J2234" i="1" s="1"/>
  <c r="J2233" i="1" s="1"/>
  <c r="I2234" i="1" a="1"/>
  <c r="I2234" i="1" s="1"/>
  <c r="I2233" i="1" s="1"/>
  <c r="H2234" i="1" a="1"/>
  <c r="H2234" i="1" s="1"/>
  <c r="H2233" i="1" s="1"/>
  <c r="G2234" i="1" a="1"/>
  <c r="G2234" i="1" s="1"/>
  <c r="G2233" i="1" s="1"/>
  <c r="F2234" i="1" a="1"/>
  <c r="F2234" i="1" s="1"/>
  <c r="F2233" i="1" s="1"/>
  <c r="K2232" i="1" a="1"/>
  <c r="K2232" i="1" s="1"/>
  <c r="J2232" i="1" a="1"/>
  <c r="J2232" i="1" s="1"/>
  <c r="I2232" i="1" a="1"/>
  <c r="I2232" i="1" s="1"/>
  <c r="H2232" i="1" a="1"/>
  <c r="H2232" i="1" s="1"/>
  <c r="G2232" i="1" a="1"/>
  <c r="G2232" i="1" s="1"/>
  <c r="F2232" i="1" a="1"/>
  <c r="F2232" i="1" s="1"/>
  <c r="K2231" i="1" a="1"/>
  <c r="K2231" i="1" s="1"/>
  <c r="K2230" i="1" s="1"/>
  <c r="K2229" i="1" s="1"/>
  <c r="K2228" i="1" s="1"/>
  <c r="J2231" i="1" a="1"/>
  <c r="J2231" i="1" s="1"/>
  <c r="J2230" i="1" s="1"/>
  <c r="J2229" i="1" s="1"/>
  <c r="J2228" i="1" s="1"/>
  <c r="I2231" i="1" a="1"/>
  <c r="I2231" i="1" s="1"/>
  <c r="I2230" i="1" s="1"/>
  <c r="I2229" i="1" s="1"/>
  <c r="I2228" i="1" s="1"/>
  <c r="H2231" i="1" a="1"/>
  <c r="H2231" i="1" s="1"/>
  <c r="H2230" i="1" s="1"/>
  <c r="H2229" i="1" s="1"/>
  <c r="H2228" i="1" s="1"/>
  <c r="G2231" i="1" a="1"/>
  <c r="G2231" i="1" s="1"/>
  <c r="G2230" i="1" s="1"/>
  <c r="G2229" i="1" s="1"/>
  <c r="G2228" i="1" s="1"/>
  <c r="F2231" i="1" a="1"/>
  <c r="F2231" i="1" s="1"/>
  <c r="F2230" i="1" s="1"/>
  <c r="F2229" i="1" s="1"/>
  <c r="F2228" i="1" s="1"/>
  <c r="K2227" i="1" a="1"/>
  <c r="K2227" i="1" s="1"/>
  <c r="J2227" i="1" a="1"/>
  <c r="J2227" i="1" s="1"/>
  <c r="I2227" i="1" a="1"/>
  <c r="I2227" i="1" s="1"/>
  <c r="H2227" i="1" a="1"/>
  <c r="H2227" i="1" s="1"/>
  <c r="G2227" i="1" a="1"/>
  <c r="G2227" i="1" s="1"/>
  <c r="F2227" i="1" a="1"/>
  <c r="F2227" i="1" s="1"/>
  <c r="K2226" i="1" a="1"/>
  <c r="K2226" i="1" s="1"/>
  <c r="J2226" i="1" a="1"/>
  <c r="J2226" i="1" s="1"/>
  <c r="I2226" i="1" a="1"/>
  <c r="I2226" i="1" s="1"/>
  <c r="H2226" i="1" a="1"/>
  <c r="H2226" i="1" s="1"/>
  <c r="G2226" i="1" a="1"/>
  <c r="G2226" i="1" s="1"/>
  <c r="F2226" i="1" a="1"/>
  <c r="F2226" i="1" s="1"/>
  <c r="K2224" i="1" a="1"/>
  <c r="K2224" i="1" s="1"/>
  <c r="K2225" i="1" s="1" a="1"/>
  <c r="K2225" i="1" s="1"/>
  <c r="J2224" i="1" a="1"/>
  <c r="J2224" i="1" s="1"/>
  <c r="J2225" i="1" s="1" a="1"/>
  <c r="J2225" i="1" s="1"/>
  <c r="I2224" i="1" a="1"/>
  <c r="I2224" i="1" s="1"/>
  <c r="I2225" i="1" s="1" a="1"/>
  <c r="I2225" i="1" s="1"/>
  <c r="H2224" i="1" a="1"/>
  <c r="H2224" i="1" s="1"/>
  <c r="H2225" i="1" s="1" a="1"/>
  <c r="H2225" i="1" s="1"/>
  <c r="G2224" i="1" a="1"/>
  <c r="G2224" i="1" s="1"/>
  <c r="G2225" i="1" s="1" a="1"/>
  <c r="G2225" i="1" s="1"/>
  <c r="F2224" i="1" a="1"/>
  <c r="F2224" i="1" s="1"/>
  <c r="F2225" i="1" s="1" a="1"/>
  <c r="F2225" i="1" s="1"/>
  <c r="K2222" i="1" a="1"/>
  <c r="K2222" i="1" s="1"/>
  <c r="K2223" i="1" s="1" a="1"/>
  <c r="K2223" i="1" s="1"/>
  <c r="J2222" i="1" a="1"/>
  <c r="J2222" i="1" s="1"/>
  <c r="J2223" i="1" s="1" a="1"/>
  <c r="J2223" i="1" s="1"/>
  <c r="I2222" i="1" a="1"/>
  <c r="I2222" i="1" s="1"/>
  <c r="I2223" i="1" s="1" a="1"/>
  <c r="I2223" i="1" s="1"/>
  <c r="H2222" i="1" a="1"/>
  <c r="H2222" i="1" s="1"/>
  <c r="H2223" i="1" s="1" a="1"/>
  <c r="H2223" i="1" s="1"/>
  <c r="G2222" i="1" a="1"/>
  <c r="G2222" i="1" s="1"/>
  <c r="G2223" i="1" s="1" a="1"/>
  <c r="G2223" i="1" s="1"/>
  <c r="F2222" i="1" a="1"/>
  <c r="F2222" i="1" s="1"/>
  <c r="F2223" i="1" s="1" a="1"/>
  <c r="F2223" i="1" s="1"/>
  <c r="K2221" i="1" a="1"/>
  <c r="K2221" i="1" s="1"/>
  <c r="J2221" i="1" a="1"/>
  <c r="J2221" i="1" s="1"/>
  <c r="I2221" i="1" a="1"/>
  <c r="I2221" i="1" s="1"/>
  <c r="H2221" i="1" a="1"/>
  <c r="H2221" i="1" s="1"/>
  <c r="G2221" i="1" a="1"/>
  <c r="G2221" i="1" s="1"/>
  <c r="F2221" i="1" a="1"/>
  <c r="F2221" i="1" s="1"/>
  <c r="K2219" i="1" a="1"/>
  <c r="K2219" i="1" s="1"/>
  <c r="K2220" i="1" s="1" a="1"/>
  <c r="K2220" i="1" s="1"/>
  <c r="J2219" i="1" a="1"/>
  <c r="J2219" i="1" s="1"/>
  <c r="J2220" i="1" s="1" a="1"/>
  <c r="J2220" i="1" s="1"/>
  <c r="I2219" i="1" a="1"/>
  <c r="I2219" i="1" s="1"/>
  <c r="I2220" i="1" s="1" a="1"/>
  <c r="I2220" i="1" s="1"/>
  <c r="H2219" i="1" a="1"/>
  <c r="H2219" i="1" s="1"/>
  <c r="H2220" i="1" s="1" a="1"/>
  <c r="H2220" i="1" s="1"/>
  <c r="G2219" i="1" a="1"/>
  <c r="G2219" i="1" s="1"/>
  <c r="G2220" i="1" s="1" a="1"/>
  <c r="G2220" i="1" s="1"/>
  <c r="F2219" i="1" a="1"/>
  <c r="F2219" i="1" s="1"/>
  <c r="F2220" i="1" s="1" a="1"/>
  <c r="F2220" i="1" s="1"/>
  <c r="K2217" i="1" a="1"/>
  <c r="K2217" i="1" s="1"/>
  <c r="J2217" i="1" a="1"/>
  <c r="J2217" i="1" s="1"/>
  <c r="I2217" i="1" a="1"/>
  <c r="I2217" i="1" s="1"/>
  <c r="H2217" i="1" a="1"/>
  <c r="H2217" i="1" s="1"/>
  <c r="G2217" i="1" a="1"/>
  <c r="G2217" i="1" s="1"/>
  <c r="F2217" i="1" a="1"/>
  <c r="F2217" i="1" s="1"/>
  <c r="K2216" i="1" a="1"/>
  <c r="K2216" i="1" s="1"/>
  <c r="J2216" i="1" a="1"/>
  <c r="J2216" i="1" s="1"/>
  <c r="I2216" i="1" a="1"/>
  <c r="I2216" i="1" s="1"/>
  <c r="H2216" i="1" a="1"/>
  <c r="H2216" i="1" s="1"/>
  <c r="G2216" i="1" a="1"/>
  <c r="G2216" i="1" s="1"/>
  <c r="F2216" i="1" a="1"/>
  <c r="F2216" i="1" s="1"/>
  <c r="K2214" i="1" a="1"/>
  <c r="K2214" i="1" s="1"/>
  <c r="K2215" i="1" s="1" a="1"/>
  <c r="K2215" i="1" s="1"/>
  <c r="J2214" i="1" a="1"/>
  <c r="J2214" i="1" s="1"/>
  <c r="J2215" i="1" s="1" a="1"/>
  <c r="J2215" i="1" s="1"/>
  <c r="I2214" i="1" a="1"/>
  <c r="I2214" i="1" s="1"/>
  <c r="I2215" i="1" s="1" a="1"/>
  <c r="I2215" i="1" s="1"/>
  <c r="H2214" i="1" a="1"/>
  <c r="H2214" i="1" s="1"/>
  <c r="H2215" i="1" s="1" a="1"/>
  <c r="H2215" i="1" s="1"/>
  <c r="G2214" i="1" a="1"/>
  <c r="G2214" i="1" s="1"/>
  <c r="G2215" i="1" s="1" a="1"/>
  <c r="G2215" i="1" s="1"/>
  <c r="F2214" i="1" a="1"/>
  <c r="F2214" i="1" s="1"/>
  <c r="F2215" i="1" s="1" a="1"/>
  <c r="F2215" i="1" s="1"/>
  <c r="K2212" i="1" a="1"/>
  <c r="K2212" i="1" s="1"/>
  <c r="K2213" i="1" s="1" a="1"/>
  <c r="K2213" i="1" s="1"/>
  <c r="J2212" i="1" a="1"/>
  <c r="J2212" i="1" s="1"/>
  <c r="J2213" i="1" s="1" a="1"/>
  <c r="J2213" i="1" s="1"/>
  <c r="I2212" i="1" a="1"/>
  <c r="I2212" i="1" s="1"/>
  <c r="I2213" i="1" s="1" a="1"/>
  <c r="I2213" i="1" s="1"/>
  <c r="H2212" i="1" a="1"/>
  <c r="H2212" i="1" s="1"/>
  <c r="H2213" i="1" s="1" a="1"/>
  <c r="H2213" i="1" s="1"/>
  <c r="G2212" i="1" a="1"/>
  <c r="G2212" i="1" s="1"/>
  <c r="G2213" i="1" s="1" a="1"/>
  <c r="G2213" i="1" s="1"/>
  <c r="F2212" i="1" a="1"/>
  <c r="F2212" i="1" s="1"/>
  <c r="F2213" i="1" s="1" a="1"/>
  <c r="F2213" i="1" s="1"/>
  <c r="K2211" i="1" a="1"/>
  <c r="K2211" i="1" s="1"/>
  <c r="J2211" i="1" a="1"/>
  <c r="J2211" i="1" s="1"/>
  <c r="I2211" i="1" a="1"/>
  <c r="I2211" i="1" s="1"/>
  <c r="H2211" i="1" a="1"/>
  <c r="H2211" i="1" s="1"/>
  <c r="G2211" i="1" a="1"/>
  <c r="G2211" i="1" s="1"/>
  <c r="F2211" i="1" a="1"/>
  <c r="F2211" i="1" s="1"/>
  <c r="K2209" i="1" a="1"/>
  <c r="K2209" i="1" s="1"/>
  <c r="K2210" i="1" s="1" a="1"/>
  <c r="K2210" i="1" s="1"/>
  <c r="J2209" i="1" a="1"/>
  <c r="J2209" i="1" s="1"/>
  <c r="J2210" i="1" s="1" a="1"/>
  <c r="J2210" i="1" s="1"/>
  <c r="I2209" i="1" a="1"/>
  <c r="I2209" i="1" s="1"/>
  <c r="I2210" i="1" s="1" a="1"/>
  <c r="I2210" i="1" s="1"/>
  <c r="H2209" i="1" a="1"/>
  <c r="H2209" i="1" s="1"/>
  <c r="H2210" i="1" s="1" a="1"/>
  <c r="H2210" i="1" s="1"/>
  <c r="G2209" i="1" a="1"/>
  <c r="G2209" i="1" s="1"/>
  <c r="G2210" i="1" s="1" a="1"/>
  <c r="G2210" i="1" s="1"/>
  <c r="F2209" i="1" a="1"/>
  <c r="F2209" i="1" s="1"/>
  <c r="F2210" i="1" s="1" a="1"/>
  <c r="F2210" i="1" s="1"/>
  <c r="K2207" i="1" a="1"/>
  <c r="K2207" i="1" s="1"/>
  <c r="J2207" i="1" a="1"/>
  <c r="J2207" i="1" s="1"/>
  <c r="I2207" i="1" a="1"/>
  <c r="I2207" i="1" s="1"/>
  <c r="H2207" i="1" a="1"/>
  <c r="H2207" i="1" s="1"/>
  <c r="G2207" i="1" a="1"/>
  <c r="G2207" i="1" s="1"/>
  <c r="F2207" i="1" a="1"/>
  <c r="F2207" i="1" s="1"/>
  <c r="K2206" i="1" a="1"/>
  <c r="K2206" i="1" s="1"/>
  <c r="J2206" i="1" a="1"/>
  <c r="J2206" i="1" s="1"/>
  <c r="I2206" i="1" a="1"/>
  <c r="I2206" i="1" s="1"/>
  <c r="H2206" i="1" a="1"/>
  <c r="H2206" i="1" s="1"/>
  <c r="G2206" i="1" a="1"/>
  <c r="G2206" i="1" s="1"/>
  <c r="F2206" i="1" a="1"/>
  <c r="F2206" i="1" s="1"/>
  <c r="K2205" i="1" a="1"/>
  <c r="K2205" i="1" s="1"/>
  <c r="J2205" i="1" a="1"/>
  <c r="J2205" i="1" s="1"/>
  <c r="I2205" i="1" a="1"/>
  <c r="I2205" i="1" s="1"/>
  <c r="H2205" i="1" a="1"/>
  <c r="H2205" i="1" s="1"/>
  <c r="G2205" i="1" a="1"/>
  <c r="G2205" i="1" s="1"/>
  <c r="F2205" i="1" a="1"/>
  <c r="F2205" i="1" s="1"/>
  <c r="K2204" i="1" a="1"/>
  <c r="K2204" i="1" s="1"/>
  <c r="J2204" i="1" a="1"/>
  <c r="J2204" i="1" s="1"/>
  <c r="I2204" i="1" a="1"/>
  <c r="I2204" i="1" s="1"/>
  <c r="H2204" i="1" a="1"/>
  <c r="H2204" i="1" s="1"/>
  <c r="G2204" i="1" a="1"/>
  <c r="G2204" i="1" s="1"/>
  <c r="F2204" i="1" a="1"/>
  <c r="F2204" i="1" s="1"/>
  <c r="K2203" i="1" a="1"/>
  <c r="K2203" i="1" s="1"/>
  <c r="J2203" i="1" a="1"/>
  <c r="J2203" i="1" s="1"/>
  <c r="I2203" i="1" a="1"/>
  <c r="I2203" i="1" s="1"/>
  <c r="H2203" i="1" a="1"/>
  <c r="H2203" i="1" s="1"/>
  <c r="G2203" i="1" a="1"/>
  <c r="G2203" i="1" s="1"/>
  <c r="F2203" i="1" a="1"/>
  <c r="F2203" i="1" s="1"/>
  <c r="K2202" i="1" a="1"/>
  <c r="K2202" i="1" s="1"/>
  <c r="J2202" i="1" a="1"/>
  <c r="J2202" i="1" s="1"/>
  <c r="I2202" i="1" a="1"/>
  <c r="I2202" i="1" s="1"/>
  <c r="H2202" i="1" a="1"/>
  <c r="H2202" i="1" s="1"/>
  <c r="G2202" i="1" a="1"/>
  <c r="G2202" i="1" s="1"/>
  <c r="F2202" i="1" a="1"/>
  <c r="F2202" i="1" s="1"/>
  <c r="K2201" i="1" a="1"/>
  <c r="K2201" i="1" s="1"/>
  <c r="J2201" i="1" a="1"/>
  <c r="J2201" i="1" s="1"/>
  <c r="I2201" i="1" a="1"/>
  <c r="I2201" i="1" s="1"/>
  <c r="H2201" i="1" a="1"/>
  <c r="H2201" i="1" s="1"/>
  <c r="G2201" i="1" a="1"/>
  <c r="G2201" i="1" s="1"/>
  <c r="F2201" i="1" a="1"/>
  <c r="F2201" i="1" s="1"/>
  <c r="K2200" i="1" a="1"/>
  <c r="K2200" i="1" s="1"/>
  <c r="J2200" i="1" a="1"/>
  <c r="J2200" i="1" s="1"/>
  <c r="I2200" i="1" a="1"/>
  <c r="I2200" i="1" s="1"/>
  <c r="H2200" i="1" a="1"/>
  <c r="H2200" i="1" s="1"/>
  <c r="G2200" i="1" a="1"/>
  <c r="G2200" i="1" s="1"/>
  <c r="F2200" i="1" a="1"/>
  <c r="F2200" i="1" s="1"/>
  <c r="K2199" i="1" a="1"/>
  <c r="K2199" i="1" s="1"/>
  <c r="J2199" i="1" a="1"/>
  <c r="J2199" i="1" s="1"/>
  <c r="I2199" i="1" a="1"/>
  <c r="I2199" i="1" s="1"/>
  <c r="H2199" i="1" a="1"/>
  <c r="H2199" i="1" s="1"/>
  <c r="G2199" i="1" a="1"/>
  <c r="G2199" i="1" s="1"/>
  <c r="F2199" i="1" a="1"/>
  <c r="F2199" i="1" s="1"/>
  <c r="K2198" i="1" a="1"/>
  <c r="K2198" i="1" s="1"/>
  <c r="J2198" i="1" a="1"/>
  <c r="J2198" i="1" s="1"/>
  <c r="I2198" i="1" a="1"/>
  <c r="I2198" i="1" s="1"/>
  <c r="H2198" i="1" a="1"/>
  <c r="H2198" i="1" s="1"/>
  <c r="G2198" i="1" a="1"/>
  <c r="G2198" i="1" s="1"/>
  <c r="F2198" i="1" a="1"/>
  <c r="F2198" i="1" s="1"/>
  <c r="K2197" i="1" a="1"/>
  <c r="K2197" i="1" s="1"/>
  <c r="J2197" i="1" a="1"/>
  <c r="J2197" i="1" s="1"/>
  <c r="I2197" i="1" a="1"/>
  <c r="I2197" i="1" s="1"/>
  <c r="H2197" i="1" a="1"/>
  <c r="H2197" i="1" s="1"/>
  <c r="G2197" i="1" a="1"/>
  <c r="G2197" i="1" s="1"/>
  <c r="F2197" i="1" a="1"/>
  <c r="F2197" i="1" s="1"/>
  <c r="K2196" i="1" a="1"/>
  <c r="K2196" i="1" s="1"/>
  <c r="J2196" i="1" a="1"/>
  <c r="J2196" i="1" s="1"/>
  <c r="I2196" i="1" a="1"/>
  <c r="I2196" i="1" s="1"/>
  <c r="H2196" i="1" a="1"/>
  <c r="H2196" i="1" s="1"/>
  <c r="G2196" i="1" a="1"/>
  <c r="G2196" i="1" s="1"/>
  <c r="F2196" i="1" a="1"/>
  <c r="F2196" i="1" s="1"/>
  <c r="K2195" i="1" a="1"/>
  <c r="K2195" i="1" s="1"/>
  <c r="J2195" i="1" a="1"/>
  <c r="J2195" i="1" s="1"/>
  <c r="I2195" i="1" a="1"/>
  <c r="I2195" i="1" s="1"/>
  <c r="H2195" i="1" a="1"/>
  <c r="H2195" i="1" s="1"/>
  <c r="G2195" i="1" a="1"/>
  <c r="G2195" i="1" s="1"/>
  <c r="F2195" i="1" a="1"/>
  <c r="F2195" i="1" s="1"/>
  <c r="K2194" i="1" a="1"/>
  <c r="K2194" i="1" s="1"/>
  <c r="J2194" i="1" a="1"/>
  <c r="J2194" i="1" s="1"/>
  <c r="I2194" i="1" a="1"/>
  <c r="I2194" i="1" s="1"/>
  <c r="H2194" i="1" a="1"/>
  <c r="H2194" i="1" s="1"/>
  <c r="G2194" i="1" a="1"/>
  <c r="G2194" i="1" s="1"/>
  <c r="F2194" i="1" a="1"/>
  <c r="F2194" i="1" s="1"/>
  <c r="K2193" i="1" a="1"/>
  <c r="K2193" i="1" s="1"/>
  <c r="J2193" i="1" a="1"/>
  <c r="J2193" i="1" s="1"/>
  <c r="I2193" i="1" a="1"/>
  <c r="I2193" i="1" s="1"/>
  <c r="H2193" i="1" a="1"/>
  <c r="H2193" i="1" s="1"/>
  <c r="G2193" i="1" a="1"/>
  <c r="G2193" i="1" s="1"/>
  <c r="F2193" i="1" a="1"/>
  <c r="F2193" i="1" s="1"/>
  <c r="K2192" i="1" a="1"/>
  <c r="K2192" i="1" s="1"/>
  <c r="J2192" i="1" a="1"/>
  <c r="J2192" i="1" s="1"/>
  <c r="I2192" i="1" a="1"/>
  <c r="I2192" i="1" s="1"/>
  <c r="H2192" i="1" a="1"/>
  <c r="H2192" i="1" s="1"/>
  <c r="G2192" i="1" a="1"/>
  <c r="G2192" i="1" s="1"/>
  <c r="F2192" i="1" a="1"/>
  <c r="F2192" i="1" s="1"/>
  <c r="K2191" i="1" a="1"/>
  <c r="K2191" i="1" s="1"/>
  <c r="J2191" i="1" a="1"/>
  <c r="J2191" i="1" s="1"/>
  <c r="I2191" i="1" a="1"/>
  <c r="I2191" i="1" s="1"/>
  <c r="H2191" i="1" a="1"/>
  <c r="H2191" i="1" s="1"/>
  <c r="G2191" i="1" a="1"/>
  <c r="G2191" i="1" s="1"/>
  <c r="F2191" i="1" a="1"/>
  <c r="F2191" i="1" s="1"/>
  <c r="K2190" i="1" a="1"/>
  <c r="K2190" i="1" s="1"/>
  <c r="J2190" i="1" a="1"/>
  <c r="J2190" i="1" s="1"/>
  <c r="I2190" i="1" a="1"/>
  <c r="I2190" i="1" s="1"/>
  <c r="H2190" i="1" a="1"/>
  <c r="H2190" i="1" s="1"/>
  <c r="G2190" i="1" a="1"/>
  <c r="G2190" i="1" s="1"/>
  <c r="F2190" i="1" a="1"/>
  <c r="F2190" i="1" s="1"/>
  <c r="K2189" i="1" a="1"/>
  <c r="K2189" i="1" s="1"/>
  <c r="J2189" i="1" a="1"/>
  <c r="J2189" i="1" s="1"/>
  <c r="I2189" i="1" a="1"/>
  <c r="I2189" i="1" s="1"/>
  <c r="H2189" i="1" a="1"/>
  <c r="H2189" i="1" s="1"/>
  <c r="G2189" i="1" a="1"/>
  <c r="G2189" i="1" s="1"/>
  <c r="F2189" i="1" a="1"/>
  <c r="F2189" i="1" s="1"/>
  <c r="K2188" i="1" a="1"/>
  <c r="K2188" i="1" s="1"/>
  <c r="J2188" i="1" a="1"/>
  <c r="J2188" i="1" s="1"/>
  <c r="I2188" i="1" a="1"/>
  <c r="I2188" i="1" s="1"/>
  <c r="H2188" i="1" a="1"/>
  <c r="H2188" i="1" s="1"/>
  <c r="G2188" i="1" a="1"/>
  <c r="G2188" i="1" s="1"/>
  <c r="F2188" i="1" a="1"/>
  <c r="F2188" i="1" s="1"/>
  <c r="K2187" i="1" a="1"/>
  <c r="K2187" i="1" s="1"/>
  <c r="J2187" i="1" a="1"/>
  <c r="J2187" i="1" s="1"/>
  <c r="I2187" i="1" a="1"/>
  <c r="I2187" i="1" s="1"/>
  <c r="H2187" i="1" a="1"/>
  <c r="H2187" i="1" s="1"/>
  <c r="G2187" i="1" a="1"/>
  <c r="G2187" i="1" s="1"/>
  <c r="F2187" i="1" a="1"/>
  <c r="F2187" i="1" s="1"/>
  <c r="K2186" i="1" a="1"/>
  <c r="K2186" i="1" s="1"/>
  <c r="J2186" i="1" a="1"/>
  <c r="J2186" i="1" s="1"/>
  <c r="I2186" i="1" a="1"/>
  <c r="I2186" i="1" s="1"/>
  <c r="H2186" i="1" a="1"/>
  <c r="H2186" i="1" s="1"/>
  <c r="G2186" i="1" a="1"/>
  <c r="G2186" i="1" s="1"/>
  <c r="F2186" i="1" a="1"/>
  <c r="F2186" i="1" s="1"/>
  <c r="K2185" i="1" a="1"/>
  <c r="K2185" i="1" s="1"/>
  <c r="J2185" i="1" a="1"/>
  <c r="J2185" i="1" s="1"/>
  <c r="I2185" i="1" a="1"/>
  <c r="I2185" i="1" s="1"/>
  <c r="H2185" i="1" a="1"/>
  <c r="H2185" i="1" s="1"/>
  <c r="G2185" i="1" a="1"/>
  <c r="G2185" i="1" s="1"/>
  <c r="F2185" i="1" a="1"/>
  <c r="F2185" i="1" s="1"/>
  <c r="K2183" i="1" a="1"/>
  <c r="K2183" i="1" s="1"/>
  <c r="J2183" i="1" a="1"/>
  <c r="J2183" i="1" s="1"/>
  <c r="I2183" i="1" a="1"/>
  <c r="I2183" i="1" s="1"/>
  <c r="H2183" i="1" a="1"/>
  <c r="H2183" i="1" s="1"/>
  <c r="G2183" i="1" a="1"/>
  <c r="G2183" i="1" s="1"/>
  <c r="F2183" i="1" a="1"/>
  <c r="F2183" i="1" s="1"/>
  <c r="K2182" i="1" a="1"/>
  <c r="K2182" i="1" s="1"/>
  <c r="J2182" i="1" a="1"/>
  <c r="J2182" i="1" s="1"/>
  <c r="I2182" i="1" a="1"/>
  <c r="I2182" i="1" s="1"/>
  <c r="H2182" i="1" a="1"/>
  <c r="H2182" i="1" s="1"/>
  <c r="G2182" i="1" a="1"/>
  <c r="G2182" i="1" s="1"/>
  <c r="F2182" i="1" a="1"/>
  <c r="F2182" i="1" s="1"/>
  <c r="K2181" i="1" a="1"/>
  <c r="K2181" i="1" s="1"/>
  <c r="J2181" i="1" a="1"/>
  <c r="J2181" i="1" s="1"/>
  <c r="I2181" i="1" a="1"/>
  <c r="I2181" i="1" s="1"/>
  <c r="H2181" i="1" a="1"/>
  <c r="H2181" i="1" s="1"/>
  <c r="G2181" i="1" a="1"/>
  <c r="G2181" i="1" s="1"/>
  <c r="F2181" i="1" a="1"/>
  <c r="F2181" i="1" s="1"/>
  <c r="K2180" i="1" a="1"/>
  <c r="K2180" i="1" s="1"/>
  <c r="J2180" i="1" a="1"/>
  <c r="J2180" i="1" s="1"/>
  <c r="I2180" i="1" a="1"/>
  <c r="I2180" i="1" s="1"/>
  <c r="H2180" i="1" a="1"/>
  <c r="H2180" i="1" s="1"/>
  <c r="G2180" i="1" a="1"/>
  <c r="G2180" i="1" s="1"/>
  <c r="F2180" i="1" a="1"/>
  <c r="F2180" i="1" s="1"/>
  <c r="K2179" i="1" a="1"/>
  <c r="K2179" i="1" s="1"/>
  <c r="J2179" i="1" a="1"/>
  <c r="J2179" i="1" s="1"/>
  <c r="I2179" i="1" a="1"/>
  <c r="I2179" i="1" s="1"/>
  <c r="H2179" i="1" a="1"/>
  <c r="H2179" i="1" s="1"/>
  <c r="G2179" i="1" a="1"/>
  <c r="G2179" i="1" s="1"/>
  <c r="F2179" i="1" a="1"/>
  <c r="F2179" i="1" s="1"/>
  <c r="K2178" i="1" a="1"/>
  <c r="K2178" i="1" s="1"/>
  <c r="J2178" i="1" a="1"/>
  <c r="J2178" i="1" s="1"/>
  <c r="I2178" i="1" a="1"/>
  <c r="I2178" i="1" s="1"/>
  <c r="H2178" i="1" a="1"/>
  <c r="H2178" i="1" s="1"/>
  <c r="G2178" i="1" a="1"/>
  <c r="G2178" i="1" s="1"/>
  <c r="F2178" i="1" a="1"/>
  <c r="F2178" i="1" s="1"/>
  <c r="K2177" i="1" a="1"/>
  <c r="K2177" i="1" s="1"/>
  <c r="J2177" i="1" a="1"/>
  <c r="J2177" i="1" s="1"/>
  <c r="I2177" i="1" a="1"/>
  <c r="I2177" i="1" s="1"/>
  <c r="H2177" i="1" a="1"/>
  <c r="H2177" i="1" s="1"/>
  <c r="G2177" i="1" a="1"/>
  <c r="G2177" i="1" s="1"/>
  <c r="F2177" i="1" a="1"/>
  <c r="F2177" i="1" s="1"/>
  <c r="K2176" i="1" a="1"/>
  <c r="K2176" i="1" s="1"/>
  <c r="J2176" i="1" a="1"/>
  <c r="J2176" i="1" s="1"/>
  <c r="I2176" i="1" a="1"/>
  <c r="I2176" i="1" s="1"/>
  <c r="H2176" i="1" a="1"/>
  <c r="H2176" i="1" s="1"/>
  <c r="G2176" i="1" a="1"/>
  <c r="G2176" i="1" s="1"/>
  <c r="F2176" i="1" a="1"/>
  <c r="F2176" i="1" s="1"/>
  <c r="K2175" i="1" a="1"/>
  <c r="K2175" i="1" s="1"/>
  <c r="J2175" i="1" a="1"/>
  <c r="J2175" i="1" s="1"/>
  <c r="I2175" i="1" a="1"/>
  <c r="I2175" i="1" s="1"/>
  <c r="H2175" i="1" a="1"/>
  <c r="H2175" i="1" s="1"/>
  <c r="G2175" i="1" a="1"/>
  <c r="G2175" i="1" s="1"/>
  <c r="F2175" i="1" a="1"/>
  <c r="F2175" i="1" s="1"/>
  <c r="K2174" i="1" a="1"/>
  <c r="K2174" i="1" s="1"/>
  <c r="J2174" i="1" a="1"/>
  <c r="J2174" i="1" s="1"/>
  <c r="I2174" i="1" a="1"/>
  <c r="I2174" i="1" s="1"/>
  <c r="H2174" i="1" a="1"/>
  <c r="H2174" i="1" s="1"/>
  <c r="G2174" i="1" a="1"/>
  <c r="G2174" i="1" s="1"/>
  <c r="F2174" i="1" a="1"/>
  <c r="F2174" i="1" s="1"/>
  <c r="K2173" i="1" a="1"/>
  <c r="K2173" i="1" s="1"/>
  <c r="J2173" i="1" a="1"/>
  <c r="J2173" i="1" s="1"/>
  <c r="I2173" i="1" a="1"/>
  <c r="I2173" i="1" s="1"/>
  <c r="H2173" i="1" a="1"/>
  <c r="H2173" i="1" s="1"/>
  <c r="G2173" i="1" a="1"/>
  <c r="G2173" i="1" s="1"/>
  <c r="F2173" i="1" a="1"/>
  <c r="F2173" i="1" s="1"/>
  <c r="K2172" i="1" a="1"/>
  <c r="K2172" i="1" s="1"/>
  <c r="J2172" i="1" a="1"/>
  <c r="J2172" i="1" s="1"/>
  <c r="I2172" i="1" a="1"/>
  <c r="I2172" i="1" s="1"/>
  <c r="H2172" i="1" a="1"/>
  <c r="H2172" i="1" s="1"/>
  <c r="G2172" i="1" a="1"/>
  <c r="G2172" i="1" s="1"/>
  <c r="F2172" i="1" a="1"/>
  <c r="F2172" i="1" s="1"/>
  <c r="K2171" i="1" a="1"/>
  <c r="K2171" i="1" s="1"/>
  <c r="J2171" i="1" a="1"/>
  <c r="J2171" i="1" s="1"/>
  <c r="I2171" i="1" a="1"/>
  <c r="I2171" i="1" s="1"/>
  <c r="H2171" i="1" a="1"/>
  <c r="H2171" i="1" s="1"/>
  <c r="G2171" i="1" a="1"/>
  <c r="G2171" i="1" s="1"/>
  <c r="F2171" i="1" a="1"/>
  <c r="F2171" i="1" s="1"/>
  <c r="K2170" i="1" a="1"/>
  <c r="K2170" i="1" s="1"/>
  <c r="J2170" i="1" a="1"/>
  <c r="J2170" i="1" s="1"/>
  <c r="I2170" i="1" a="1"/>
  <c r="I2170" i="1" s="1"/>
  <c r="H2170" i="1" a="1"/>
  <c r="H2170" i="1" s="1"/>
  <c r="G2170" i="1" a="1"/>
  <c r="G2170" i="1" s="1"/>
  <c r="F2170" i="1" a="1"/>
  <c r="F2170" i="1" s="1"/>
  <c r="K2169" i="1" a="1"/>
  <c r="K2169" i="1" s="1"/>
  <c r="J2169" i="1" a="1"/>
  <c r="J2169" i="1" s="1"/>
  <c r="I2169" i="1" a="1"/>
  <c r="I2169" i="1" s="1"/>
  <c r="H2169" i="1" a="1"/>
  <c r="H2169" i="1" s="1"/>
  <c r="G2169" i="1" a="1"/>
  <c r="G2169" i="1" s="1"/>
  <c r="F2169" i="1" a="1"/>
  <c r="F2169" i="1" s="1"/>
  <c r="K2168" i="1" a="1"/>
  <c r="K2168" i="1" s="1"/>
  <c r="J2168" i="1" a="1"/>
  <c r="J2168" i="1" s="1"/>
  <c r="I2168" i="1" a="1"/>
  <c r="I2168" i="1" s="1"/>
  <c r="H2168" i="1" a="1"/>
  <c r="H2168" i="1" s="1"/>
  <c r="G2168" i="1" a="1"/>
  <c r="G2168" i="1" s="1"/>
  <c r="F2168" i="1" a="1"/>
  <c r="F2168" i="1" s="1"/>
  <c r="K2167" i="1" a="1"/>
  <c r="K2167" i="1" s="1"/>
  <c r="J2167" i="1" a="1"/>
  <c r="J2167" i="1" s="1"/>
  <c r="I2167" i="1" a="1"/>
  <c r="I2167" i="1" s="1"/>
  <c r="H2167" i="1" a="1"/>
  <c r="H2167" i="1" s="1"/>
  <c r="G2167" i="1" a="1"/>
  <c r="G2167" i="1" s="1"/>
  <c r="F2167" i="1" a="1"/>
  <c r="F2167" i="1" s="1"/>
  <c r="K2166" i="1" a="1"/>
  <c r="K2166" i="1" s="1"/>
  <c r="J2166" i="1" a="1"/>
  <c r="J2166" i="1" s="1"/>
  <c r="I2166" i="1" a="1"/>
  <c r="I2166" i="1" s="1"/>
  <c r="H2166" i="1" a="1"/>
  <c r="H2166" i="1" s="1"/>
  <c r="G2166" i="1" a="1"/>
  <c r="G2166" i="1" s="1"/>
  <c r="F2166" i="1" a="1"/>
  <c r="F2166" i="1" s="1"/>
  <c r="K2165" i="1" a="1"/>
  <c r="K2165" i="1" s="1"/>
  <c r="J2165" i="1" a="1"/>
  <c r="J2165" i="1" s="1"/>
  <c r="I2165" i="1" a="1"/>
  <c r="I2165" i="1" s="1"/>
  <c r="H2165" i="1" a="1"/>
  <c r="H2165" i="1" s="1"/>
  <c r="G2165" i="1" a="1"/>
  <c r="G2165" i="1" s="1"/>
  <c r="F2165" i="1" a="1"/>
  <c r="F2165" i="1" s="1"/>
  <c r="K2164" i="1" a="1"/>
  <c r="K2164" i="1" s="1"/>
  <c r="J2164" i="1" a="1"/>
  <c r="J2164" i="1" s="1"/>
  <c r="I2164" i="1" a="1"/>
  <c r="I2164" i="1" s="1"/>
  <c r="H2164" i="1" a="1"/>
  <c r="H2164" i="1" s="1"/>
  <c r="G2164" i="1" a="1"/>
  <c r="G2164" i="1" s="1"/>
  <c r="F2164" i="1" a="1"/>
  <c r="F2164" i="1" s="1"/>
  <c r="K2163" i="1" a="1"/>
  <c r="K2163" i="1" s="1"/>
  <c r="J2163" i="1" a="1"/>
  <c r="J2163" i="1" s="1"/>
  <c r="I2163" i="1" a="1"/>
  <c r="I2163" i="1" s="1"/>
  <c r="H2163" i="1" a="1"/>
  <c r="H2163" i="1" s="1"/>
  <c r="G2163" i="1" a="1"/>
  <c r="G2163" i="1" s="1"/>
  <c r="F2163" i="1" a="1"/>
  <c r="F2163" i="1" s="1"/>
  <c r="K2162" i="1" a="1"/>
  <c r="K2162" i="1" s="1"/>
  <c r="J2162" i="1" a="1"/>
  <c r="J2162" i="1" s="1"/>
  <c r="I2162" i="1" a="1"/>
  <c r="I2162" i="1" s="1"/>
  <c r="H2162" i="1" a="1"/>
  <c r="H2162" i="1" s="1"/>
  <c r="G2162" i="1" a="1"/>
  <c r="G2162" i="1" s="1"/>
  <c r="F2162" i="1" a="1"/>
  <c r="F2162" i="1" s="1"/>
  <c r="K2161" i="1" a="1"/>
  <c r="K2161" i="1" s="1"/>
  <c r="K2160" i="1" s="1"/>
  <c r="J2161" i="1" a="1"/>
  <c r="J2161" i="1" s="1"/>
  <c r="J2160" i="1" s="1"/>
  <c r="I2161" i="1" a="1"/>
  <c r="I2161" i="1" s="1"/>
  <c r="I2160" i="1" s="1"/>
  <c r="H2161" i="1" a="1"/>
  <c r="H2161" i="1" s="1"/>
  <c r="H2160" i="1" s="1"/>
  <c r="G2161" i="1" a="1"/>
  <c r="G2161" i="1" s="1"/>
  <c r="G2160" i="1" s="1"/>
  <c r="F2161" i="1" a="1"/>
  <c r="F2161" i="1" s="1"/>
  <c r="F2160" i="1" s="1"/>
  <c r="K2159" i="1" a="1"/>
  <c r="K2159" i="1" s="1"/>
  <c r="J2159" i="1" a="1"/>
  <c r="J2159" i="1" s="1"/>
  <c r="I2159" i="1" a="1"/>
  <c r="I2159" i="1" s="1"/>
  <c r="H2159" i="1" a="1"/>
  <c r="H2159" i="1" s="1"/>
  <c r="G2159" i="1" a="1"/>
  <c r="G2159" i="1" s="1"/>
  <c r="F2159" i="1" a="1"/>
  <c r="F2159" i="1" s="1"/>
  <c r="K2158" i="1" a="1"/>
  <c r="K2158" i="1" s="1"/>
  <c r="J2158" i="1" a="1"/>
  <c r="J2158" i="1" s="1"/>
  <c r="I2158" i="1" a="1"/>
  <c r="I2158" i="1" s="1"/>
  <c r="H2158" i="1" a="1"/>
  <c r="H2158" i="1" s="1"/>
  <c r="G2158" i="1" a="1"/>
  <c r="G2158" i="1" s="1"/>
  <c r="F2158" i="1" a="1"/>
  <c r="F2158" i="1" s="1"/>
  <c r="K2157" i="1" a="1"/>
  <c r="K2157" i="1" s="1"/>
  <c r="J2157" i="1" a="1"/>
  <c r="J2157" i="1" s="1"/>
  <c r="I2157" i="1" a="1"/>
  <c r="I2157" i="1" s="1"/>
  <c r="H2157" i="1" a="1"/>
  <c r="H2157" i="1" s="1"/>
  <c r="G2157" i="1" a="1"/>
  <c r="G2157" i="1" s="1"/>
  <c r="F2157" i="1" a="1"/>
  <c r="F2157" i="1" s="1"/>
  <c r="K2156" i="1" a="1"/>
  <c r="K2156" i="1" s="1"/>
  <c r="J2156" i="1" a="1"/>
  <c r="J2156" i="1" s="1"/>
  <c r="I2156" i="1" a="1"/>
  <c r="I2156" i="1" s="1"/>
  <c r="H2156" i="1" a="1"/>
  <c r="H2156" i="1" s="1"/>
  <c r="G2156" i="1" a="1"/>
  <c r="G2156" i="1" s="1"/>
  <c r="F2156" i="1" a="1"/>
  <c r="F2156" i="1" s="1"/>
  <c r="K2155" i="1" a="1"/>
  <c r="K2155" i="1" s="1"/>
  <c r="J2155" i="1" a="1"/>
  <c r="J2155" i="1" s="1"/>
  <c r="I2155" i="1" a="1"/>
  <c r="I2155" i="1" s="1"/>
  <c r="H2155" i="1" a="1"/>
  <c r="H2155" i="1" s="1"/>
  <c r="G2155" i="1" a="1"/>
  <c r="G2155" i="1" s="1"/>
  <c r="F2155" i="1" a="1"/>
  <c r="F2155" i="1" s="1"/>
  <c r="K2154" i="1" a="1"/>
  <c r="K2154" i="1" s="1"/>
  <c r="J2154" i="1" a="1"/>
  <c r="J2154" i="1" s="1"/>
  <c r="I2154" i="1" a="1"/>
  <c r="I2154" i="1" s="1"/>
  <c r="H2154" i="1" a="1"/>
  <c r="H2154" i="1" s="1"/>
  <c r="G2154" i="1" a="1"/>
  <c r="G2154" i="1" s="1"/>
  <c r="F2154" i="1" a="1"/>
  <c r="F2154" i="1" s="1"/>
  <c r="K2153" i="1" a="1"/>
  <c r="K2153" i="1" s="1"/>
  <c r="J2153" i="1" a="1"/>
  <c r="J2153" i="1" s="1"/>
  <c r="I2153" i="1" a="1"/>
  <c r="I2153" i="1" s="1"/>
  <c r="H2153" i="1" a="1"/>
  <c r="H2153" i="1" s="1"/>
  <c r="G2153" i="1" a="1"/>
  <c r="G2153" i="1" s="1"/>
  <c r="F2153" i="1" a="1"/>
  <c r="F2153" i="1" s="1"/>
  <c r="K2152" i="1" a="1"/>
  <c r="K2152" i="1" s="1"/>
  <c r="J2152" i="1" a="1"/>
  <c r="J2152" i="1" s="1"/>
  <c r="I2152" i="1" a="1"/>
  <c r="I2152" i="1" s="1"/>
  <c r="H2152" i="1" a="1"/>
  <c r="H2152" i="1" s="1"/>
  <c r="G2152" i="1" a="1"/>
  <c r="G2152" i="1" s="1"/>
  <c r="F2152" i="1" a="1"/>
  <c r="F2152" i="1" s="1"/>
  <c r="K2151" i="1" a="1"/>
  <c r="K2151" i="1" s="1"/>
  <c r="J2151" i="1" a="1"/>
  <c r="J2151" i="1" s="1"/>
  <c r="I2151" i="1" a="1"/>
  <c r="I2151" i="1" s="1"/>
  <c r="H2151" i="1" a="1"/>
  <c r="H2151" i="1" s="1"/>
  <c r="G2151" i="1" a="1"/>
  <c r="G2151" i="1" s="1"/>
  <c r="F2151" i="1" a="1"/>
  <c r="F2151" i="1" s="1"/>
  <c r="K2150" i="1" a="1"/>
  <c r="K2150" i="1" s="1"/>
  <c r="J2150" i="1" a="1"/>
  <c r="J2150" i="1" s="1"/>
  <c r="I2150" i="1" a="1"/>
  <c r="I2150" i="1" s="1"/>
  <c r="H2150" i="1" a="1"/>
  <c r="H2150" i="1" s="1"/>
  <c r="G2150" i="1" a="1"/>
  <c r="G2150" i="1" s="1"/>
  <c r="F2150" i="1" a="1"/>
  <c r="F2150" i="1" s="1"/>
  <c r="K2149" i="1" a="1"/>
  <c r="K2149" i="1" s="1"/>
  <c r="J2149" i="1" a="1"/>
  <c r="J2149" i="1" s="1"/>
  <c r="I2149" i="1" a="1"/>
  <c r="I2149" i="1" s="1"/>
  <c r="H2149" i="1" a="1"/>
  <c r="H2149" i="1" s="1"/>
  <c r="G2149" i="1" a="1"/>
  <c r="G2149" i="1" s="1"/>
  <c r="F2149" i="1" a="1"/>
  <c r="F2149" i="1" s="1"/>
  <c r="K2148" i="1" a="1"/>
  <c r="K2148" i="1" s="1"/>
  <c r="J2148" i="1" a="1"/>
  <c r="J2148" i="1" s="1"/>
  <c r="I2148" i="1" a="1"/>
  <c r="I2148" i="1" s="1"/>
  <c r="H2148" i="1" a="1"/>
  <c r="H2148" i="1" s="1"/>
  <c r="G2148" i="1" a="1"/>
  <c r="G2148" i="1" s="1"/>
  <c r="F2148" i="1" a="1"/>
  <c r="F2148" i="1" s="1"/>
  <c r="K2147" i="1" a="1"/>
  <c r="K2147" i="1" s="1"/>
  <c r="J2147" i="1" a="1"/>
  <c r="J2147" i="1" s="1"/>
  <c r="I2147" i="1" a="1"/>
  <c r="I2147" i="1" s="1"/>
  <c r="H2147" i="1" a="1"/>
  <c r="H2147" i="1" s="1"/>
  <c r="G2147" i="1" a="1"/>
  <c r="G2147" i="1" s="1"/>
  <c r="F2147" i="1" a="1"/>
  <c r="F2147" i="1" s="1"/>
  <c r="K2146" i="1" a="1"/>
  <c r="K2146" i="1" s="1"/>
  <c r="J2146" i="1" a="1"/>
  <c r="J2146" i="1" s="1"/>
  <c r="I2146" i="1" a="1"/>
  <c r="I2146" i="1" s="1"/>
  <c r="H2146" i="1" a="1"/>
  <c r="H2146" i="1" s="1"/>
  <c r="G2146" i="1" a="1"/>
  <c r="G2146" i="1" s="1"/>
  <c r="F2146" i="1" a="1"/>
  <c r="F2146" i="1" s="1"/>
  <c r="K2145" i="1" a="1"/>
  <c r="K2145" i="1" s="1"/>
  <c r="J2145" i="1" a="1"/>
  <c r="J2145" i="1" s="1"/>
  <c r="I2145" i="1" a="1"/>
  <c r="I2145" i="1" s="1"/>
  <c r="H2145" i="1" a="1"/>
  <c r="H2145" i="1" s="1"/>
  <c r="G2145" i="1" a="1"/>
  <c r="G2145" i="1" s="1"/>
  <c r="F2145" i="1" a="1"/>
  <c r="F2145" i="1" s="1"/>
  <c r="K2144" i="1" a="1"/>
  <c r="K2144" i="1" s="1"/>
  <c r="J2144" i="1" a="1"/>
  <c r="J2144" i="1" s="1"/>
  <c r="I2144" i="1" a="1"/>
  <c r="I2144" i="1" s="1"/>
  <c r="H2144" i="1" a="1"/>
  <c r="H2144" i="1" s="1"/>
  <c r="G2144" i="1" a="1"/>
  <c r="G2144" i="1" s="1"/>
  <c r="F2144" i="1" a="1"/>
  <c r="F2144" i="1" s="1"/>
  <c r="K2143" i="1" a="1"/>
  <c r="K2143" i="1" s="1"/>
  <c r="J2143" i="1" a="1"/>
  <c r="J2143" i="1" s="1"/>
  <c r="I2143" i="1" a="1"/>
  <c r="I2143" i="1" s="1"/>
  <c r="H2143" i="1" a="1"/>
  <c r="H2143" i="1" s="1"/>
  <c r="G2143" i="1" a="1"/>
  <c r="G2143" i="1" s="1"/>
  <c r="F2143" i="1" a="1"/>
  <c r="F2143" i="1" s="1"/>
  <c r="K2142" i="1" a="1"/>
  <c r="K2142" i="1" s="1"/>
  <c r="J2142" i="1" a="1"/>
  <c r="J2142" i="1" s="1"/>
  <c r="I2142" i="1" a="1"/>
  <c r="I2142" i="1" s="1"/>
  <c r="H2142" i="1" a="1"/>
  <c r="H2142" i="1" s="1"/>
  <c r="G2142" i="1" a="1"/>
  <c r="G2142" i="1" s="1"/>
  <c r="F2142" i="1" a="1"/>
  <c r="F2142" i="1" s="1"/>
  <c r="K2141" i="1" a="1"/>
  <c r="K2141" i="1" s="1"/>
  <c r="J2141" i="1" a="1"/>
  <c r="J2141" i="1" s="1"/>
  <c r="I2141" i="1" a="1"/>
  <c r="I2141" i="1" s="1"/>
  <c r="H2141" i="1" a="1"/>
  <c r="H2141" i="1" s="1"/>
  <c r="G2141" i="1" a="1"/>
  <c r="G2141" i="1" s="1"/>
  <c r="F2141" i="1" a="1"/>
  <c r="F2141" i="1" s="1"/>
  <c r="K2140" i="1" a="1"/>
  <c r="K2140" i="1" s="1"/>
  <c r="J2140" i="1" a="1"/>
  <c r="J2140" i="1" s="1"/>
  <c r="I2140" i="1" a="1"/>
  <c r="I2140" i="1" s="1"/>
  <c r="H2140" i="1" a="1"/>
  <c r="H2140" i="1" s="1"/>
  <c r="G2140" i="1" a="1"/>
  <c r="G2140" i="1" s="1"/>
  <c r="F2140" i="1" a="1"/>
  <c r="F2140" i="1" s="1"/>
  <c r="K2139" i="1" a="1"/>
  <c r="K2139" i="1" s="1"/>
  <c r="J2139" i="1" a="1"/>
  <c r="J2139" i="1" s="1"/>
  <c r="I2139" i="1" a="1"/>
  <c r="I2139" i="1" s="1"/>
  <c r="H2139" i="1" a="1"/>
  <c r="H2139" i="1" s="1"/>
  <c r="G2139" i="1" a="1"/>
  <c r="G2139" i="1" s="1"/>
  <c r="F2139" i="1" a="1"/>
  <c r="F2139" i="1" s="1"/>
  <c r="K2138" i="1" a="1"/>
  <c r="K2138" i="1" s="1"/>
  <c r="J2138" i="1" a="1"/>
  <c r="J2138" i="1" s="1"/>
  <c r="I2138" i="1" a="1"/>
  <c r="I2138" i="1" s="1"/>
  <c r="H2138" i="1" a="1"/>
  <c r="H2138" i="1" s="1"/>
  <c r="G2138" i="1" a="1"/>
  <c r="G2138" i="1" s="1"/>
  <c r="F2138" i="1" a="1"/>
  <c r="F2138" i="1" s="1"/>
  <c r="K2137" i="1" a="1"/>
  <c r="K2137" i="1" s="1"/>
  <c r="J2137" i="1" a="1"/>
  <c r="J2137" i="1" s="1"/>
  <c r="I2137" i="1" a="1"/>
  <c r="I2137" i="1" s="1"/>
  <c r="H2137" i="1" a="1"/>
  <c r="H2137" i="1" s="1"/>
  <c r="G2137" i="1" a="1"/>
  <c r="G2137" i="1" s="1"/>
  <c r="F2137" i="1" a="1"/>
  <c r="F2137" i="1" s="1"/>
  <c r="K2136" i="1" a="1"/>
  <c r="K2136" i="1" s="1"/>
  <c r="J2136" i="1" a="1"/>
  <c r="J2136" i="1" s="1"/>
  <c r="I2136" i="1" a="1"/>
  <c r="I2136" i="1" s="1"/>
  <c r="H2136" i="1" a="1"/>
  <c r="H2136" i="1" s="1"/>
  <c r="G2136" i="1" a="1"/>
  <c r="G2136" i="1" s="1"/>
  <c r="F2136" i="1" a="1"/>
  <c r="F2136" i="1" s="1"/>
  <c r="K2135" i="1" a="1"/>
  <c r="K2135" i="1" s="1"/>
  <c r="J2135" i="1" a="1"/>
  <c r="J2135" i="1" s="1"/>
  <c r="I2135" i="1" a="1"/>
  <c r="I2135" i="1" s="1"/>
  <c r="H2135" i="1" a="1"/>
  <c r="H2135" i="1" s="1"/>
  <c r="G2135" i="1" a="1"/>
  <c r="G2135" i="1" s="1"/>
  <c r="F2135" i="1" a="1"/>
  <c r="F2135" i="1" s="1"/>
  <c r="K2134" i="1" a="1"/>
  <c r="K2134" i="1" s="1"/>
  <c r="J2134" i="1" a="1"/>
  <c r="J2134" i="1" s="1"/>
  <c r="I2134" i="1" a="1"/>
  <c r="I2134" i="1" s="1"/>
  <c r="H2134" i="1" a="1"/>
  <c r="H2134" i="1" s="1"/>
  <c r="G2134" i="1" a="1"/>
  <c r="G2134" i="1" s="1"/>
  <c r="F2134" i="1" a="1"/>
  <c r="F2134" i="1" s="1"/>
  <c r="K2133" i="1" a="1"/>
  <c r="K2133" i="1" s="1"/>
  <c r="J2133" i="1" a="1"/>
  <c r="J2133" i="1" s="1"/>
  <c r="I2133" i="1" a="1"/>
  <c r="I2133" i="1" s="1"/>
  <c r="H2133" i="1" a="1"/>
  <c r="H2133" i="1" s="1"/>
  <c r="G2133" i="1" a="1"/>
  <c r="G2133" i="1" s="1"/>
  <c r="F2133" i="1" a="1"/>
  <c r="F2133" i="1" s="1"/>
  <c r="K2132" i="1" a="1"/>
  <c r="K2132" i="1" s="1"/>
  <c r="J2132" i="1" a="1"/>
  <c r="J2132" i="1" s="1"/>
  <c r="I2132" i="1" a="1"/>
  <c r="I2132" i="1" s="1"/>
  <c r="H2132" i="1" a="1"/>
  <c r="H2132" i="1" s="1"/>
  <c r="G2132" i="1" a="1"/>
  <c r="G2132" i="1" s="1"/>
  <c r="F2132" i="1" a="1"/>
  <c r="F2132" i="1" s="1"/>
  <c r="K2131" i="1" a="1"/>
  <c r="K2131" i="1" s="1"/>
  <c r="J2131" i="1" a="1"/>
  <c r="J2131" i="1" s="1"/>
  <c r="I2131" i="1" a="1"/>
  <c r="I2131" i="1" s="1"/>
  <c r="H2131" i="1" a="1"/>
  <c r="H2131" i="1" s="1"/>
  <c r="G2131" i="1" a="1"/>
  <c r="G2131" i="1" s="1"/>
  <c r="F2131" i="1" a="1"/>
  <c r="F2131" i="1" s="1"/>
  <c r="K2130" i="1" a="1"/>
  <c r="K2130" i="1" s="1"/>
  <c r="J2130" i="1" a="1"/>
  <c r="J2130" i="1" s="1"/>
  <c r="I2130" i="1" a="1"/>
  <c r="I2130" i="1" s="1"/>
  <c r="H2130" i="1" a="1"/>
  <c r="H2130" i="1" s="1"/>
  <c r="G2130" i="1" a="1"/>
  <c r="G2130" i="1" s="1"/>
  <c r="F2130" i="1" a="1"/>
  <c r="F2130" i="1" s="1"/>
  <c r="K2129" i="1" a="1"/>
  <c r="K2129" i="1" s="1"/>
  <c r="J2129" i="1" a="1"/>
  <c r="J2129" i="1" s="1"/>
  <c r="I2129" i="1" a="1"/>
  <c r="I2129" i="1" s="1"/>
  <c r="H2129" i="1" a="1"/>
  <c r="H2129" i="1" s="1"/>
  <c r="G2129" i="1" a="1"/>
  <c r="G2129" i="1" s="1"/>
  <c r="F2129" i="1" a="1"/>
  <c r="F2129" i="1" s="1"/>
  <c r="K2128" i="1" a="1"/>
  <c r="K2128" i="1" s="1"/>
  <c r="J2128" i="1" a="1"/>
  <c r="J2128" i="1" s="1"/>
  <c r="I2128" i="1" a="1"/>
  <c r="I2128" i="1" s="1"/>
  <c r="H2128" i="1" a="1"/>
  <c r="H2128" i="1" s="1"/>
  <c r="G2128" i="1" a="1"/>
  <c r="G2128" i="1" s="1"/>
  <c r="F2128" i="1" a="1"/>
  <c r="F2128" i="1" s="1"/>
  <c r="K2127" i="1" a="1"/>
  <c r="K2127" i="1" s="1"/>
  <c r="J2127" i="1" a="1"/>
  <c r="J2127" i="1" s="1"/>
  <c r="I2127" i="1" a="1"/>
  <c r="I2127" i="1" s="1"/>
  <c r="H2127" i="1" a="1"/>
  <c r="H2127" i="1" s="1"/>
  <c r="G2127" i="1" a="1"/>
  <c r="G2127" i="1" s="1"/>
  <c r="F2127" i="1" a="1"/>
  <c r="F2127" i="1" s="1"/>
  <c r="K2126" i="1" a="1"/>
  <c r="K2126" i="1" s="1"/>
  <c r="J2126" i="1" a="1"/>
  <c r="J2126" i="1" s="1"/>
  <c r="I2126" i="1" a="1"/>
  <c r="I2126" i="1" s="1"/>
  <c r="H2126" i="1" a="1"/>
  <c r="H2126" i="1" s="1"/>
  <c r="G2126" i="1" a="1"/>
  <c r="G2126" i="1" s="1"/>
  <c r="F2126" i="1" a="1"/>
  <c r="F2126" i="1" s="1"/>
  <c r="K2125" i="1" a="1"/>
  <c r="K2125" i="1" s="1"/>
  <c r="J2125" i="1" a="1"/>
  <c r="J2125" i="1" s="1"/>
  <c r="I2125" i="1" a="1"/>
  <c r="I2125" i="1" s="1"/>
  <c r="H2125" i="1" a="1"/>
  <c r="H2125" i="1" s="1"/>
  <c r="G2125" i="1" a="1"/>
  <c r="G2125" i="1" s="1"/>
  <c r="F2125" i="1" a="1"/>
  <c r="F2125" i="1" s="1"/>
  <c r="K2124" i="1" a="1"/>
  <c r="K2124" i="1" s="1"/>
  <c r="J2124" i="1" a="1"/>
  <c r="J2124" i="1" s="1"/>
  <c r="I2124" i="1" a="1"/>
  <c r="I2124" i="1" s="1"/>
  <c r="H2124" i="1" a="1"/>
  <c r="H2124" i="1" s="1"/>
  <c r="G2124" i="1" a="1"/>
  <c r="G2124" i="1" s="1"/>
  <c r="F2124" i="1" a="1"/>
  <c r="F2124" i="1" s="1"/>
  <c r="K2123" i="1" a="1"/>
  <c r="K2123" i="1" s="1"/>
  <c r="J2123" i="1" a="1"/>
  <c r="J2123" i="1" s="1"/>
  <c r="I2123" i="1" a="1"/>
  <c r="I2123" i="1" s="1"/>
  <c r="H2123" i="1" a="1"/>
  <c r="H2123" i="1" s="1"/>
  <c r="G2123" i="1" a="1"/>
  <c r="G2123" i="1" s="1"/>
  <c r="F2123" i="1" a="1"/>
  <c r="F2123" i="1" s="1"/>
  <c r="K2122" i="1" a="1"/>
  <c r="K2122" i="1" s="1"/>
  <c r="J2122" i="1" a="1"/>
  <c r="J2122" i="1" s="1"/>
  <c r="I2122" i="1" a="1"/>
  <c r="I2122" i="1" s="1"/>
  <c r="H2122" i="1" a="1"/>
  <c r="H2122" i="1" s="1"/>
  <c r="G2122" i="1" a="1"/>
  <c r="G2122" i="1" s="1"/>
  <c r="F2122" i="1" a="1"/>
  <c r="F2122" i="1" s="1"/>
  <c r="K2121" i="1" a="1"/>
  <c r="K2121" i="1" s="1"/>
  <c r="J2121" i="1" a="1"/>
  <c r="J2121" i="1" s="1"/>
  <c r="I2121" i="1" a="1"/>
  <c r="I2121" i="1" s="1"/>
  <c r="H2121" i="1" a="1"/>
  <c r="H2121" i="1" s="1"/>
  <c r="G2121" i="1" a="1"/>
  <c r="G2121" i="1" s="1"/>
  <c r="F2121" i="1" a="1"/>
  <c r="F2121" i="1" s="1"/>
  <c r="K2120" i="1" a="1"/>
  <c r="K2120" i="1" s="1"/>
  <c r="J2120" i="1" a="1"/>
  <c r="J2120" i="1" s="1"/>
  <c r="I2120" i="1" a="1"/>
  <c r="I2120" i="1" s="1"/>
  <c r="H2120" i="1" a="1"/>
  <c r="H2120" i="1" s="1"/>
  <c r="G2120" i="1" a="1"/>
  <c r="G2120" i="1" s="1"/>
  <c r="F2120" i="1" a="1"/>
  <c r="F2120" i="1" s="1"/>
  <c r="K2119" i="1" a="1"/>
  <c r="K2119" i="1" s="1"/>
  <c r="J2119" i="1" a="1"/>
  <c r="J2119" i="1" s="1"/>
  <c r="I2119" i="1" a="1"/>
  <c r="I2119" i="1" s="1"/>
  <c r="H2119" i="1" a="1"/>
  <c r="H2119" i="1" s="1"/>
  <c r="G2119" i="1" a="1"/>
  <c r="G2119" i="1" s="1"/>
  <c r="F2119" i="1" a="1"/>
  <c r="F2119" i="1" s="1"/>
  <c r="K2118" i="1" a="1"/>
  <c r="K2118" i="1" s="1"/>
  <c r="J2118" i="1" a="1"/>
  <c r="J2118" i="1" s="1"/>
  <c r="I2118" i="1" a="1"/>
  <c r="I2118" i="1" s="1"/>
  <c r="H2118" i="1" a="1"/>
  <c r="H2118" i="1" s="1"/>
  <c r="G2118" i="1" a="1"/>
  <c r="G2118" i="1" s="1"/>
  <c r="F2118" i="1" a="1"/>
  <c r="F2118" i="1" s="1"/>
  <c r="K2117" i="1" a="1"/>
  <c r="K2117" i="1" s="1"/>
  <c r="J2117" i="1" a="1"/>
  <c r="J2117" i="1" s="1"/>
  <c r="I2117" i="1" a="1"/>
  <c r="I2117" i="1" s="1"/>
  <c r="H2117" i="1" a="1"/>
  <c r="H2117" i="1" s="1"/>
  <c r="G2117" i="1" a="1"/>
  <c r="G2117" i="1" s="1"/>
  <c r="F2117" i="1" a="1"/>
  <c r="F2117" i="1" s="1"/>
  <c r="K2116" i="1" a="1"/>
  <c r="K2116" i="1" s="1"/>
  <c r="J2116" i="1" a="1"/>
  <c r="J2116" i="1" s="1"/>
  <c r="I2116" i="1" a="1"/>
  <c r="I2116" i="1" s="1"/>
  <c r="H2116" i="1" a="1"/>
  <c r="H2116" i="1" s="1"/>
  <c r="G2116" i="1" a="1"/>
  <c r="G2116" i="1" s="1"/>
  <c r="F2116" i="1" a="1"/>
  <c r="F2116" i="1" s="1"/>
  <c r="K2115" i="1" a="1"/>
  <c r="K2115" i="1" s="1"/>
  <c r="J2115" i="1" a="1"/>
  <c r="J2115" i="1" s="1"/>
  <c r="I2115" i="1" a="1"/>
  <c r="I2115" i="1" s="1"/>
  <c r="H2115" i="1" a="1"/>
  <c r="H2115" i="1" s="1"/>
  <c r="G2115" i="1" a="1"/>
  <c r="G2115" i="1" s="1"/>
  <c r="F2115" i="1" a="1"/>
  <c r="F2115" i="1" s="1"/>
  <c r="K2114" i="1" a="1"/>
  <c r="K2114" i="1" s="1"/>
  <c r="J2114" i="1" a="1"/>
  <c r="J2114" i="1" s="1"/>
  <c r="I2114" i="1" a="1"/>
  <c r="I2114" i="1" s="1"/>
  <c r="H2114" i="1" a="1"/>
  <c r="H2114" i="1" s="1"/>
  <c r="G2114" i="1" a="1"/>
  <c r="G2114" i="1" s="1"/>
  <c r="F2114" i="1" a="1"/>
  <c r="F2114" i="1" s="1"/>
  <c r="K2113" i="1" a="1"/>
  <c r="K2113" i="1" s="1"/>
  <c r="J2113" i="1" a="1"/>
  <c r="J2113" i="1" s="1"/>
  <c r="I2113" i="1" a="1"/>
  <c r="I2113" i="1" s="1"/>
  <c r="H2113" i="1" a="1"/>
  <c r="H2113" i="1" s="1"/>
  <c r="G2113" i="1" a="1"/>
  <c r="G2113" i="1" s="1"/>
  <c r="F2113" i="1" a="1"/>
  <c r="F2113" i="1" s="1"/>
  <c r="K2112" i="1" a="1"/>
  <c r="K2112" i="1" s="1"/>
  <c r="J2112" i="1" a="1"/>
  <c r="J2112" i="1" s="1"/>
  <c r="I2112" i="1" a="1"/>
  <c r="I2112" i="1" s="1"/>
  <c r="H2112" i="1" a="1"/>
  <c r="H2112" i="1" s="1"/>
  <c r="G2112" i="1" a="1"/>
  <c r="G2112" i="1" s="1"/>
  <c r="F2112" i="1" a="1"/>
  <c r="F2112" i="1" s="1"/>
  <c r="K2111" i="1" a="1"/>
  <c r="K2111" i="1" s="1"/>
  <c r="J2111" i="1" a="1"/>
  <c r="J2111" i="1" s="1"/>
  <c r="I2111" i="1" a="1"/>
  <c r="I2111" i="1" s="1"/>
  <c r="H2111" i="1" a="1"/>
  <c r="H2111" i="1" s="1"/>
  <c r="G2111" i="1" a="1"/>
  <c r="G2111" i="1" s="1"/>
  <c r="F2111" i="1" a="1"/>
  <c r="F2111" i="1" s="1"/>
  <c r="K2110" i="1" a="1"/>
  <c r="K2110" i="1" s="1"/>
  <c r="J2110" i="1" a="1"/>
  <c r="J2110" i="1" s="1"/>
  <c r="I2110" i="1" a="1"/>
  <c r="I2110" i="1" s="1"/>
  <c r="H2110" i="1" a="1"/>
  <c r="H2110" i="1" s="1"/>
  <c r="G2110" i="1" a="1"/>
  <c r="G2110" i="1" s="1"/>
  <c r="F2110" i="1" a="1"/>
  <c r="F2110" i="1" s="1"/>
  <c r="K2108" i="1"/>
  <c r="J2108" i="1"/>
  <c r="I2108" i="1"/>
  <c r="H2108" i="1"/>
  <c r="G2108" i="1"/>
  <c r="F2108" i="1"/>
  <c r="K2107" i="1"/>
  <c r="J2107" i="1"/>
  <c r="I2107" i="1"/>
  <c r="H2107" i="1"/>
  <c r="G2107" i="1"/>
  <c r="F2107" i="1"/>
  <c r="K2106" i="1"/>
  <c r="J2106" i="1"/>
  <c r="I2106" i="1"/>
  <c r="H2106" i="1"/>
  <c r="G2106" i="1"/>
  <c r="F2106" i="1"/>
  <c r="K2105" i="1"/>
  <c r="J2105" i="1"/>
  <c r="I2105" i="1"/>
  <c r="H2105" i="1"/>
  <c r="G2105" i="1"/>
  <c r="F2105" i="1"/>
  <c r="K2104" i="1"/>
  <c r="J2104" i="1"/>
  <c r="I2104" i="1"/>
  <c r="H2104" i="1"/>
  <c r="G2104" i="1"/>
  <c r="F2104" i="1"/>
  <c r="K2103" i="1"/>
  <c r="J2103" i="1"/>
  <c r="I2103" i="1"/>
  <c r="H2103" i="1"/>
  <c r="G2103" i="1"/>
  <c r="F2103" i="1"/>
  <c r="K2102" i="1"/>
  <c r="K2101" i="1" s="1"/>
  <c r="J2102" i="1"/>
  <c r="J2101" i="1" s="1"/>
  <c r="I2102" i="1"/>
  <c r="I2101" i="1" s="1"/>
  <c r="H2102" i="1"/>
  <c r="H2101" i="1" s="1"/>
  <c r="G2102" i="1"/>
  <c r="G2101" i="1" s="1"/>
  <c r="F2102" i="1"/>
  <c r="F2101" i="1" s="1"/>
  <c r="K2100" i="1"/>
  <c r="J2100" i="1"/>
  <c r="I2100" i="1"/>
  <c r="H2100" i="1"/>
  <c r="G2100" i="1"/>
  <c r="F2100" i="1"/>
  <c r="K2099" i="1"/>
  <c r="J2099" i="1"/>
  <c r="I2099" i="1"/>
  <c r="H2099" i="1"/>
  <c r="G2099" i="1"/>
  <c r="F2099" i="1"/>
  <c r="K2098" i="1"/>
  <c r="K2097" i="1" s="1"/>
  <c r="J2098" i="1"/>
  <c r="J2097" i="1" s="1"/>
  <c r="I2098" i="1"/>
  <c r="I2097" i="1" s="1"/>
  <c r="H2098" i="1"/>
  <c r="H2097" i="1" s="1"/>
  <c r="G2098" i="1"/>
  <c r="G2097" i="1" s="1"/>
  <c r="F2098" i="1"/>
  <c r="F2097" i="1" s="1"/>
  <c r="K2095" i="1"/>
  <c r="K2096" i="1" s="1"/>
  <c r="J2095" i="1"/>
  <c r="J2096" i="1" s="1"/>
  <c r="I2095" i="1"/>
  <c r="I2096" i="1" s="1"/>
  <c r="H2095" i="1"/>
  <c r="H2096" i="1" s="1"/>
  <c r="G2095" i="1"/>
  <c r="G2096" i="1" s="1"/>
  <c r="F2095" i="1"/>
  <c r="F2096" i="1" s="1"/>
  <c r="K2094" i="1"/>
  <c r="J2094" i="1"/>
  <c r="I2094" i="1"/>
  <c r="H2094" i="1"/>
  <c r="G2094" i="1"/>
  <c r="F2094" i="1"/>
  <c r="K2093" i="1"/>
  <c r="J2093" i="1"/>
  <c r="I2093" i="1"/>
  <c r="H2093" i="1"/>
  <c r="G2093" i="1"/>
  <c r="F2093" i="1"/>
  <c r="K2092" i="1"/>
  <c r="J2092" i="1"/>
  <c r="I2092" i="1"/>
  <c r="H2092" i="1"/>
  <c r="G2092" i="1"/>
  <c r="F2092" i="1"/>
  <c r="K2091" i="1"/>
  <c r="J2091" i="1"/>
  <c r="I2091" i="1"/>
  <c r="H2091" i="1"/>
  <c r="G2091" i="1"/>
  <c r="F2091" i="1"/>
  <c r="K2090" i="1"/>
  <c r="K2089" i="1" s="1"/>
  <c r="J2090" i="1"/>
  <c r="J2089" i="1" s="1"/>
  <c r="I2090" i="1"/>
  <c r="I2089" i="1" s="1"/>
  <c r="H2090" i="1"/>
  <c r="H2089" i="1" s="1"/>
  <c r="G2090" i="1"/>
  <c r="G2089" i="1" s="1"/>
  <c r="F2090" i="1"/>
  <c r="F2089" i="1" s="1"/>
  <c r="K2088" i="1"/>
  <c r="K2087" i="1" s="1"/>
  <c r="J2088" i="1"/>
  <c r="J2087" i="1" s="1"/>
  <c r="I2088" i="1"/>
  <c r="I2087" i="1" s="1"/>
  <c r="H2088" i="1"/>
  <c r="H2087" i="1" s="1"/>
  <c r="G2088" i="1"/>
  <c r="G2087" i="1" s="1"/>
  <c r="F2088" i="1"/>
  <c r="F2087" i="1" s="1"/>
  <c r="K2086" i="1"/>
  <c r="J2086" i="1"/>
  <c r="I2086" i="1"/>
  <c r="H2086" i="1"/>
  <c r="G2086" i="1"/>
  <c r="F2086" i="1"/>
  <c r="K2085" i="1"/>
  <c r="J2085" i="1"/>
  <c r="I2085" i="1"/>
  <c r="H2085" i="1"/>
  <c r="G2085" i="1"/>
  <c r="F2085" i="1"/>
  <c r="K2084" i="1"/>
  <c r="J2084" i="1"/>
  <c r="I2084" i="1"/>
  <c r="H2084" i="1"/>
  <c r="G2084" i="1"/>
  <c r="F2084" i="1"/>
  <c r="K2083" i="1"/>
  <c r="J2083" i="1"/>
  <c r="I2083" i="1"/>
  <c r="H2083" i="1"/>
  <c r="G2083" i="1"/>
  <c r="F2083" i="1"/>
  <c r="K2082" i="1"/>
  <c r="J2082" i="1"/>
  <c r="I2082" i="1"/>
  <c r="H2082" i="1"/>
  <c r="G2082" i="1"/>
  <c r="F2082" i="1"/>
  <c r="K2081" i="1"/>
  <c r="J2081" i="1"/>
  <c r="I2081" i="1"/>
  <c r="H2081" i="1"/>
  <c r="G2081" i="1"/>
  <c r="F2081" i="1"/>
  <c r="K2080" i="1"/>
  <c r="K2079" i="1" s="1"/>
  <c r="J2080" i="1"/>
  <c r="J2079" i="1" s="1"/>
  <c r="I2080" i="1"/>
  <c r="I2079" i="1" s="1"/>
  <c r="H2080" i="1"/>
  <c r="H2079" i="1" s="1"/>
  <c r="G2080" i="1"/>
  <c r="G2079" i="1" s="1"/>
  <c r="F2080" i="1"/>
  <c r="F2079" i="1" s="1"/>
  <c r="K2078" i="1"/>
  <c r="J2078" i="1"/>
  <c r="I2078" i="1"/>
  <c r="H2078" i="1"/>
  <c r="G2078" i="1"/>
  <c r="F2078" i="1"/>
  <c r="K2077" i="1"/>
  <c r="J2077" i="1"/>
  <c r="I2077" i="1"/>
  <c r="H2077" i="1"/>
  <c r="G2077" i="1"/>
  <c r="F2077" i="1"/>
  <c r="K2076" i="1"/>
  <c r="J2076" i="1"/>
  <c r="I2076" i="1"/>
  <c r="H2076" i="1"/>
  <c r="G2076" i="1"/>
  <c r="F2076" i="1"/>
  <c r="K2075" i="1"/>
  <c r="J2075" i="1"/>
  <c r="I2075" i="1"/>
  <c r="H2075" i="1"/>
  <c r="G2075" i="1"/>
  <c r="F2075" i="1"/>
  <c r="K2074" i="1"/>
  <c r="J2074" i="1"/>
  <c r="I2074" i="1"/>
  <c r="H2074" i="1"/>
  <c r="G2074" i="1"/>
  <c r="F2074" i="1"/>
  <c r="K2073" i="1"/>
  <c r="K2072" i="1" s="1"/>
  <c r="J2073" i="1"/>
  <c r="J2072" i="1" s="1"/>
  <c r="I2073" i="1"/>
  <c r="I2072" i="1" s="1"/>
  <c r="H2073" i="1"/>
  <c r="H2072" i="1" s="1"/>
  <c r="G2073" i="1"/>
  <c r="G2072" i="1" s="1"/>
  <c r="F2073" i="1"/>
  <c r="F2072" i="1" s="1"/>
  <c r="K2071" i="1"/>
  <c r="J2071" i="1"/>
  <c r="I2071" i="1"/>
  <c r="H2071" i="1"/>
  <c r="G2071" i="1"/>
  <c r="F2071" i="1"/>
  <c r="K2070" i="1"/>
  <c r="J2070" i="1"/>
  <c r="I2070" i="1"/>
  <c r="H2070" i="1"/>
  <c r="G2070" i="1"/>
  <c r="F2070" i="1"/>
  <c r="K2069" i="1"/>
  <c r="J2069" i="1"/>
  <c r="I2069" i="1"/>
  <c r="H2069" i="1"/>
  <c r="G2069" i="1"/>
  <c r="F2069" i="1"/>
  <c r="K2068" i="1"/>
  <c r="J2068" i="1"/>
  <c r="I2068" i="1"/>
  <c r="H2068" i="1"/>
  <c r="G2068" i="1"/>
  <c r="F2068" i="1"/>
  <c r="K2067" i="1"/>
  <c r="J2067" i="1"/>
  <c r="I2067" i="1"/>
  <c r="H2067" i="1"/>
  <c r="G2067" i="1"/>
  <c r="F2067" i="1"/>
  <c r="K2066" i="1"/>
  <c r="J2066" i="1"/>
  <c r="I2066" i="1"/>
  <c r="H2066" i="1"/>
  <c r="G2066" i="1"/>
  <c r="F2066" i="1"/>
  <c r="K2065" i="1"/>
  <c r="J2065" i="1"/>
  <c r="I2065" i="1"/>
  <c r="H2065" i="1"/>
  <c r="G2065" i="1"/>
  <c r="F2065" i="1"/>
  <c r="K2064" i="1"/>
  <c r="J2064" i="1"/>
  <c r="I2064" i="1"/>
  <c r="H2064" i="1"/>
  <c r="G2064" i="1"/>
  <c r="F2064" i="1"/>
  <c r="K2063" i="1"/>
  <c r="J2063" i="1"/>
  <c r="I2063" i="1"/>
  <c r="H2063" i="1"/>
  <c r="G2063" i="1"/>
  <c r="F2063" i="1"/>
  <c r="K2062" i="1"/>
  <c r="J2062" i="1"/>
  <c r="I2062" i="1"/>
  <c r="H2062" i="1"/>
  <c r="G2062" i="1"/>
  <c r="F2062" i="1"/>
  <c r="K2061" i="1"/>
  <c r="J2061" i="1"/>
  <c r="I2061" i="1"/>
  <c r="H2061" i="1"/>
  <c r="G2061" i="1"/>
  <c r="F2061" i="1"/>
  <c r="K2060" i="1"/>
  <c r="J2060" i="1"/>
  <c r="I2060" i="1"/>
  <c r="H2060" i="1"/>
  <c r="G2060" i="1"/>
  <c r="F2060" i="1"/>
  <c r="K2059" i="1"/>
  <c r="J2059" i="1"/>
  <c r="I2059" i="1"/>
  <c r="H2059" i="1"/>
  <c r="G2059" i="1"/>
  <c r="F2059" i="1"/>
  <c r="K2058" i="1"/>
  <c r="J2058" i="1"/>
  <c r="I2058" i="1"/>
  <c r="H2058" i="1"/>
  <c r="G2058" i="1"/>
  <c r="F2058" i="1"/>
  <c r="K2057" i="1"/>
  <c r="K2056" i="1" s="1"/>
  <c r="J2057" i="1"/>
  <c r="J2056" i="1" s="1"/>
  <c r="I2057" i="1"/>
  <c r="I2056" i="1" s="1"/>
  <c r="H2057" i="1"/>
  <c r="H2056" i="1" s="1"/>
  <c r="G2057" i="1"/>
  <c r="G2056" i="1" s="1"/>
  <c r="F2057" i="1"/>
  <c r="F2056" i="1" s="1"/>
  <c r="K2055" i="1"/>
  <c r="J2055" i="1"/>
  <c r="I2055" i="1"/>
  <c r="H2055" i="1"/>
  <c r="G2055" i="1"/>
  <c r="F2055" i="1"/>
  <c r="K2054" i="1"/>
  <c r="J2054" i="1"/>
  <c r="I2054" i="1"/>
  <c r="H2054" i="1"/>
  <c r="G2054" i="1"/>
  <c r="F2054" i="1"/>
  <c r="K2053" i="1"/>
  <c r="K2052" i="1" s="1"/>
  <c r="J2053" i="1"/>
  <c r="J2052" i="1" s="1"/>
  <c r="I2053" i="1"/>
  <c r="I2052" i="1" s="1"/>
  <c r="H2053" i="1"/>
  <c r="H2052" i="1" s="1"/>
  <c r="G2053" i="1"/>
  <c r="G2052" i="1" s="1"/>
  <c r="F2053" i="1"/>
  <c r="F2052" i="1" s="1"/>
  <c r="K2051" i="1"/>
  <c r="J2051" i="1"/>
  <c r="I2051" i="1"/>
  <c r="H2051" i="1"/>
  <c r="G2051" i="1"/>
  <c r="F2051" i="1"/>
  <c r="K2050" i="1"/>
  <c r="J2050" i="1"/>
  <c r="I2050" i="1"/>
  <c r="H2050" i="1"/>
  <c r="G2050" i="1"/>
  <c r="F2050" i="1"/>
  <c r="K2049" i="1"/>
  <c r="K2048" i="1" s="1"/>
  <c r="J2049" i="1"/>
  <c r="J2048" i="1" s="1"/>
  <c r="I2049" i="1"/>
  <c r="I2048" i="1" s="1"/>
  <c r="H2049" i="1"/>
  <c r="H2048" i="1" s="1"/>
  <c r="G2049" i="1"/>
  <c r="G2048" i="1" s="1"/>
  <c r="F2049" i="1"/>
  <c r="F2048" i="1" s="1"/>
  <c r="K2047" i="1"/>
  <c r="K2046" i="1" s="1"/>
  <c r="J2047" i="1"/>
  <c r="J2046" i="1" s="1"/>
  <c r="I2047" i="1"/>
  <c r="I2046" i="1" s="1"/>
  <c r="H2047" i="1"/>
  <c r="H2046" i="1" s="1"/>
  <c r="G2047" i="1"/>
  <c r="G2046" i="1" s="1"/>
  <c r="F2047" i="1"/>
  <c r="F2046" i="1" s="1"/>
  <c r="B2046" i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C2045" i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114" i="1" s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C2165" i="1" s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C2233" i="1" s="1"/>
  <c r="C2234" i="1" s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2313" i="1" s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B2045" i="1"/>
  <c r="E2230" i="1"/>
  <c r="E2231" i="1" s="1"/>
  <c r="E2232" i="1" s="1"/>
  <c r="E2233" i="1" s="1"/>
  <c r="E2234" i="1" s="1"/>
  <c r="E2235" i="1" s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229" i="1"/>
  <c r="E2110" i="1"/>
  <c r="E2111" i="1" s="1"/>
  <c r="E2112" i="1" s="1"/>
  <c r="E2113" i="1" s="1"/>
  <c r="E2114" i="1" s="1"/>
  <c r="E2115" i="1" s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046" i="1"/>
  <c r="E2047" i="1" s="1"/>
  <c r="E2048" i="1" s="1"/>
  <c r="E2049" i="1" s="1"/>
  <c r="E2050" i="1" s="1"/>
  <c r="E2051" i="1" s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K1817" i="1"/>
  <c r="J1817" i="1"/>
  <c r="I1817" i="1"/>
  <c r="H1817" i="1"/>
  <c r="G1817" i="1"/>
  <c r="F1817" i="1"/>
  <c r="K1816" i="1"/>
  <c r="J1816" i="1"/>
  <c r="I1816" i="1"/>
  <c r="H1816" i="1"/>
  <c r="G1816" i="1"/>
  <c r="F1816" i="1"/>
  <c r="K1815" i="1"/>
  <c r="J1815" i="1"/>
  <c r="I1815" i="1"/>
  <c r="H1815" i="1"/>
  <c r="G1815" i="1"/>
  <c r="F1815" i="1"/>
  <c r="K1814" i="1"/>
  <c r="J1814" i="1"/>
  <c r="I1814" i="1"/>
  <c r="H1814" i="1"/>
  <c r="G1814" i="1"/>
  <c r="F1814" i="1"/>
  <c r="K1813" i="1"/>
  <c r="J1813" i="1"/>
  <c r="I1813" i="1"/>
  <c r="H1813" i="1"/>
  <c r="G1813" i="1"/>
  <c r="F1813" i="1"/>
  <c r="K1812" i="1"/>
  <c r="J1812" i="1"/>
  <c r="I1812" i="1"/>
  <c r="H1812" i="1"/>
  <c r="G1812" i="1"/>
  <c r="F1812" i="1"/>
  <c r="K1811" i="1"/>
  <c r="J1811" i="1"/>
  <c r="I1811" i="1"/>
  <c r="H1811" i="1"/>
  <c r="G1811" i="1"/>
  <c r="F1811" i="1"/>
  <c r="K1809" i="1"/>
  <c r="J1809" i="1"/>
  <c r="I1809" i="1"/>
  <c r="H1809" i="1"/>
  <c r="G1809" i="1"/>
  <c r="F1809" i="1"/>
  <c r="K1808" i="1"/>
  <c r="J1808" i="1"/>
  <c r="I1808" i="1"/>
  <c r="H1808" i="1"/>
  <c r="G1808" i="1"/>
  <c r="F1808" i="1"/>
  <c r="K1807" i="1"/>
  <c r="J1807" i="1"/>
  <c r="I1807" i="1"/>
  <c r="H1807" i="1"/>
  <c r="G1807" i="1"/>
  <c r="F1807" i="1"/>
  <c r="K1804" i="1"/>
  <c r="J1804" i="1"/>
  <c r="I1804" i="1"/>
  <c r="H1804" i="1"/>
  <c r="G1804" i="1"/>
  <c r="F1804" i="1"/>
  <c r="K1803" i="1"/>
  <c r="J1803" i="1"/>
  <c r="I1803" i="1"/>
  <c r="H1803" i="1"/>
  <c r="G1803" i="1"/>
  <c r="F1803" i="1"/>
  <c r="K1802" i="1"/>
  <c r="J1802" i="1"/>
  <c r="I1802" i="1"/>
  <c r="H1802" i="1"/>
  <c r="G1802" i="1"/>
  <c r="F1802" i="1"/>
  <c r="K1801" i="1"/>
  <c r="J1801" i="1"/>
  <c r="I1801" i="1"/>
  <c r="H1801" i="1"/>
  <c r="G1801" i="1"/>
  <c r="F1801" i="1"/>
  <c r="K1800" i="1"/>
  <c r="J1800" i="1"/>
  <c r="I1800" i="1"/>
  <c r="H1800" i="1"/>
  <c r="G1800" i="1"/>
  <c r="F1800" i="1"/>
  <c r="K1799" i="1"/>
  <c r="J1799" i="1"/>
  <c r="I1799" i="1"/>
  <c r="H1799" i="1"/>
  <c r="G1799" i="1"/>
  <c r="F1799" i="1"/>
  <c r="K1797" i="1"/>
  <c r="J1797" i="1"/>
  <c r="I1797" i="1"/>
  <c r="H1797" i="1"/>
  <c r="G1797" i="1"/>
  <c r="F1797" i="1"/>
  <c r="K1795" i="1"/>
  <c r="J1795" i="1"/>
  <c r="I1795" i="1"/>
  <c r="H1795" i="1"/>
  <c r="G1795" i="1"/>
  <c r="F1795" i="1"/>
  <c r="K1794" i="1"/>
  <c r="J1794" i="1"/>
  <c r="I1794" i="1"/>
  <c r="H1794" i="1"/>
  <c r="G1794" i="1"/>
  <c r="F1794" i="1"/>
  <c r="K1793" i="1"/>
  <c r="J1793" i="1"/>
  <c r="I1793" i="1"/>
  <c r="H1793" i="1"/>
  <c r="G1793" i="1"/>
  <c r="F1793" i="1"/>
  <c r="K1792" i="1"/>
  <c r="J1792" i="1"/>
  <c r="I1792" i="1"/>
  <c r="H1792" i="1"/>
  <c r="G1792" i="1"/>
  <c r="F1792" i="1"/>
  <c r="K1791" i="1"/>
  <c r="J1791" i="1"/>
  <c r="I1791" i="1"/>
  <c r="H1791" i="1"/>
  <c r="G1791" i="1"/>
  <c r="F1791" i="1"/>
  <c r="K1790" i="1"/>
  <c r="J1790" i="1"/>
  <c r="I1790" i="1"/>
  <c r="H1790" i="1"/>
  <c r="G1790" i="1"/>
  <c r="F1790" i="1"/>
  <c r="K1789" i="1"/>
  <c r="J1789" i="1"/>
  <c r="I1789" i="1"/>
  <c r="H1789" i="1"/>
  <c r="G1789" i="1"/>
  <c r="F1789" i="1"/>
  <c r="K1787" i="1"/>
  <c r="J1787" i="1"/>
  <c r="I1787" i="1"/>
  <c r="H1787" i="1"/>
  <c r="G1787" i="1"/>
  <c r="F1787" i="1"/>
  <c r="K1786" i="1"/>
  <c r="J1786" i="1"/>
  <c r="I1786" i="1"/>
  <c r="H1786" i="1"/>
  <c r="G1786" i="1"/>
  <c r="F1786" i="1"/>
  <c r="K1785" i="1"/>
  <c r="J1785" i="1"/>
  <c r="I1785" i="1"/>
  <c r="H1785" i="1"/>
  <c r="G1785" i="1"/>
  <c r="F1785" i="1"/>
  <c r="K1784" i="1"/>
  <c r="J1784" i="1"/>
  <c r="I1784" i="1"/>
  <c r="H1784" i="1"/>
  <c r="G1784" i="1"/>
  <c r="F1784" i="1"/>
  <c r="K1783" i="1"/>
  <c r="J1783" i="1"/>
  <c r="I1783" i="1"/>
  <c r="H1783" i="1"/>
  <c r="G1783" i="1"/>
  <c r="F1783" i="1"/>
  <c r="K1782" i="1"/>
  <c r="J1782" i="1"/>
  <c r="I1782" i="1"/>
  <c r="H1782" i="1"/>
  <c r="G1782" i="1"/>
  <c r="F1782" i="1"/>
  <c r="K1780" i="1"/>
  <c r="J1780" i="1"/>
  <c r="I1780" i="1"/>
  <c r="H1780" i="1"/>
  <c r="G1780" i="1"/>
  <c r="F1780" i="1"/>
  <c r="K1779" i="1"/>
  <c r="J1779" i="1"/>
  <c r="I1779" i="1"/>
  <c r="H1779" i="1"/>
  <c r="G1779" i="1"/>
  <c r="F1779" i="1"/>
  <c r="K1778" i="1"/>
  <c r="J1778" i="1"/>
  <c r="I1778" i="1"/>
  <c r="H1778" i="1"/>
  <c r="G1778" i="1"/>
  <c r="F1778" i="1"/>
  <c r="K1777" i="1"/>
  <c r="J1777" i="1"/>
  <c r="I1777" i="1"/>
  <c r="H1777" i="1"/>
  <c r="G1777" i="1"/>
  <c r="F1777" i="1"/>
  <c r="K1776" i="1"/>
  <c r="J1776" i="1"/>
  <c r="I1776" i="1"/>
  <c r="H1776" i="1"/>
  <c r="G1776" i="1"/>
  <c r="F1776" i="1"/>
  <c r="K1775" i="1"/>
  <c r="J1775" i="1"/>
  <c r="I1775" i="1"/>
  <c r="H1775" i="1"/>
  <c r="G1775" i="1"/>
  <c r="F1775" i="1"/>
  <c r="K1774" i="1"/>
  <c r="J1774" i="1"/>
  <c r="I1774" i="1"/>
  <c r="H1774" i="1"/>
  <c r="G1774" i="1"/>
  <c r="F1774" i="1"/>
  <c r="K1773" i="1"/>
  <c r="J1773" i="1"/>
  <c r="I1773" i="1"/>
  <c r="H1773" i="1"/>
  <c r="G1773" i="1"/>
  <c r="F1773" i="1"/>
  <c r="K1772" i="1"/>
  <c r="J1772" i="1"/>
  <c r="I1772" i="1"/>
  <c r="H1772" i="1"/>
  <c r="G1772" i="1"/>
  <c r="F1772" i="1"/>
  <c r="K1771" i="1"/>
  <c r="J1771" i="1"/>
  <c r="I1771" i="1"/>
  <c r="H1771" i="1"/>
  <c r="G1771" i="1"/>
  <c r="F1771" i="1"/>
  <c r="K1770" i="1"/>
  <c r="J1770" i="1"/>
  <c r="I1770" i="1"/>
  <c r="H1770" i="1"/>
  <c r="G1770" i="1"/>
  <c r="F1770" i="1"/>
  <c r="K1769" i="1"/>
  <c r="J1769" i="1"/>
  <c r="I1769" i="1"/>
  <c r="H1769" i="1"/>
  <c r="G1769" i="1"/>
  <c r="F1769" i="1"/>
  <c r="K1768" i="1"/>
  <c r="J1768" i="1"/>
  <c r="I1768" i="1"/>
  <c r="H1768" i="1"/>
  <c r="G1768" i="1"/>
  <c r="F1768" i="1"/>
  <c r="K1767" i="1"/>
  <c r="J1767" i="1"/>
  <c r="I1767" i="1"/>
  <c r="H1767" i="1"/>
  <c r="G1767" i="1"/>
  <c r="F1767" i="1"/>
  <c r="K1766" i="1"/>
  <c r="J1766" i="1"/>
  <c r="I1766" i="1"/>
  <c r="H1766" i="1"/>
  <c r="G1766" i="1"/>
  <c r="F1766" i="1"/>
  <c r="K1764" i="1"/>
  <c r="J1764" i="1"/>
  <c r="I1764" i="1"/>
  <c r="H1764" i="1"/>
  <c r="G1764" i="1"/>
  <c r="F1764" i="1"/>
  <c r="K1763" i="1"/>
  <c r="J1763" i="1"/>
  <c r="I1763" i="1"/>
  <c r="H1763" i="1"/>
  <c r="G1763" i="1"/>
  <c r="F1763" i="1"/>
  <c r="K1762" i="1"/>
  <c r="J1762" i="1"/>
  <c r="I1762" i="1"/>
  <c r="H1762" i="1"/>
  <c r="G1762" i="1"/>
  <c r="F1762" i="1"/>
  <c r="K1760" i="1"/>
  <c r="J1760" i="1"/>
  <c r="I1760" i="1"/>
  <c r="H1760" i="1"/>
  <c r="G1760" i="1"/>
  <c r="F1760" i="1"/>
  <c r="K1759" i="1"/>
  <c r="J1759" i="1"/>
  <c r="I1759" i="1"/>
  <c r="H1759" i="1"/>
  <c r="G1759" i="1"/>
  <c r="F1759" i="1"/>
  <c r="K1758" i="1"/>
  <c r="J1758" i="1"/>
  <c r="I1758" i="1"/>
  <c r="H1758" i="1"/>
  <c r="G1758" i="1"/>
  <c r="F1758" i="1"/>
  <c r="K1756" i="1"/>
  <c r="J1756" i="1"/>
  <c r="I1756" i="1"/>
  <c r="H1756" i="1"/>
  <c r="G1756" i="1"/>
  <c r="F1756" i="1"/>
  <c r="G1688" i="1" a="1"/>
  <c r="G1688" i="1" s="1"/>
  <c r="I1688" i="1" a="1"/>
  <c r="I1688" i="1" s="1"/>
  <c r="F1688" i="1" a="1"/>
  <c r="F1688" i="1" s="1"/>
  <c r="K1688" i="1" a="1"/>
  <c r="K1688" i="1" s="1"/>
  <c r="H1688" i="1" a="1"/>
  <c r="H1688" i="1" s="1"/>
  <c r="J1688" i="1" a="1"/>
  <c r="J1688" i="1" s="1"/>
  <c r="K1700" i="1"/>
  <c r="J1700" i="1"/>
  <c r="K1699" i="1"/>
  <c r="J1699" i="1"/>
  <c r="K1698" i="1"/>
  <c r="J1698" i="1"/>
  <c r="K1696" i="1"/>
  <c r="J1696" i="1"/>
  <c r="I1696" i="1"/>
  <c r="H1696" i="1"/>
  <c r="G1696" i="1"/>
  <c r="F1696" i="1"/>
  <c r="K1695" i="1"/>
  <c r="J1695" i="1"/>
  <c r="I1695" i="1"/>
  <c r="H1695" i="1"/>
  <c r="G1695" i="1"/>
  <c r="F1695" i="1"/>
  <c r="K1694" i="1"/>
  <c r="J1694" i="1"/>
  <c r="I1694" i="1"/>
  <c r="H1694" i="1"/>
  <c r="G1694" i="1"/>
  <c r="F1694" i="1"/>
  <c r="K1693" i="1"/>
  <c r="J1693" i="1"/>
  <c r="I1693" i="1"/>
  <c r="H1693" i="1"/>
  <c r="G1693" i="1"/>
  <c r="F1693" i="1"/>
  <c r="K1692" i="1"/>
  <c r="J1692" i="1"/>
  <c r="I1692" i="1"/>
  <c r="H1692" i="1"/>
  <c r="G1692" i="1"/>
  <c r="F1692" i="1"/>
  <c r="K1691" i="1"/>
  <c r="J1691" i="1"/>
  <c r="I1691" i="1"/>
  <c r="H1691" i="1"/>
  <c r="G1691" i="1"/>
  <c r="F1691" i="1"/>
  <c r="K1690" i="1"/>
  <c r="J1690" i="1"/>
  <c r="I1690" i="1"/>
  <c r="H1690" i="1"/>
  <c r="G1690" i="1"/>
  <c r="F1690" i="1"/>
  <c r="K1689" i="1"/>
  <c r="J1689" i="1"/>
  <c r="I1689" i="1"/>
  <c r="H1689" i="1"/>
  <c r="G1689" i="1"/>
  <c r="F1689" i="1"/>
  <c r="K1686" i="1"/>
  <c r="J1686" i="1"/>
  <c r="I1686" i="1"/>
  <c r="H1686" i="1"/>
  <c r="G1686" i="1"/>
  <c r="F1686" i="1"/>
  <c r="K1685" i="1"/>
  <c r="J1685" i="1"/>
  <c r="I1685" i="1"/>
  <c r="H1685" i="1"/>
  <c r="G1685" i="1"/>
  <c r="F1685" i="1"/>
  <c r="K1684" i="1"/>
  <c r="J1684" i="1"/>
  <c r="I1684" i="1"/>
  <c r="H1684" i="1"/>
  <c r="G1684" i="1"/>
  <c r="F1684" i="1"/>
  <c r="K1149" i="1"/>
  <c r="J1149" i="1"/>
  <c r="I1149" i="1"/>
  <c r="H1149" i="1"/>
  <c r="G1149" i="1"/>
  <c r="F1149" i="1"/>
  <c r="K2016" i="1" a="1"/>
  <c r="K2016" i="1" s="1"/>
  <c r="I2016" i="1" a="1"/>
  <c r="I2016" i="1" s="1"/>
  <c r="J2016" i="1" a="1"/>
  <c r="J2016" i="1" s="1"/>
  <c r="H2010" i="1" a="1"/>
  <c r="H2010" i="1" s="1"/>
  <c r="G2010" i="1" a="1"/>
  <c r="G2010" i="1" s="1"/>
  <c r="H2013" i="1" a="1"/>
  <c r="H2013" i="1" s="1"/>
  <c r="G2013" i="1" a="1"/>
  <c r="G2013" i="1" s="1"/>
  <c r="K2008" i="1" a="1"/>
  <c r="K2008" i="1" s="1"/>
  <c r="K2009" i="1" a="1"/>
  <c r="K2009" i="1" s="1"/>
  <c r="F2011" i="1" a="1"/>
  <c r="F2011" i="1" s="1"/>
  <c r="F2012" i="1" s="1" a="1"/>
  <c r="F2012" i="1" s="1"/>
  <c r="H2016" i="1" a="1"/>
  <c r="H2016" i="1" s="1"/>
  <c r="F2016" i="1" a="1"/>
  <c r="F2016" i="1" s="1"/>
  <c r="H2015" i="1" a="1"/>
  <c r="H2015" i="1" s="1"/>
  <c r="F2015" i="1" a="1"/>
  <c r="F2015" i="1" s="1"/>
  <c r="H2011" i="1" a="1"/>
  <c r="H2011" i="1" s="1"/>
  <c r="H2012" i="1" s="1" a="1"/>
  <c r="H2012" i="1" s="1"/>
  <c r="J2010" i="1" a="1"/>
  <c r="J2010" i="1" s="1"/>
  <c r="F2013" i="1" a="1"/>
  <c r="F2013" i="1" s="1"/>
  <c r="J2015" i="1" a="1"/>
  <c r="J2015" i="1" s="1"/>
  <c r="K2015" i="1" a="1"/>
  <c r="K2015" i="1" s="1"/>
  <c r="G2015" i="1" a="1"/>
  <c r="G2015" i="1" s="1"/>
  <c r="G2011" i="1" a="1"/>
  <c r="G2011" i="1" s="1"/>
  <c r="H2014" i="1" a="1"/>
  <c r="H2014" i="1" s="1"/>
  <c r="K2013" i="1" a="1"/>
  <c r="K2013" i="1" s="1"/>
  <c r="K2014" i="1" s="1" a="1"/>
  <c r="K2014" i="1" s="1"/>
  <c r="J2006" i="1" a="1"/>
  <c r="J2006" i="1" s="1"/>
  <c r="I2010" i="1" a="1"/>
  <c r="I2010" i="1" s="1"/>
  <c r="I2013" i="1" a="1"/>
  <c r="I2013" i="1" s="1"/>
  <c r="I2014" i="1" s="1" a="1"/>
  <c r="I2014" i="1" s="1"/>
  <c r="F2006" i="1" a="1"/>
  <c r="F2006" i="1" s="1"/>
  <c r="I2006" i="1" a="1"/>
  <c r="I2006" i="1" s="1"/>
  <c r="G2014" i="1" a="1"/>
  <c r="G2014" i="1" s="1"/>
  <c r="G2016" i="1" a="1"/>
  <c r="G2016" i="1" s="1"/>
  <c r="I2015" i="1" a="1"/>
  <c r="I2015" i="1" s="1"/>
  <c r="F2010" i="1" a="1"/>
  <c r="F2010" i="1" s="1"/>
  <c r="K2011" i="1" a="1"/>
  <c r="K2011" i="1" s="1"/>
  <c r="K2012" i="1" s="1" a="1"/>
  <c r="K2012" i="1" s="1"/>
  <c r="I2011" i="1" a="1"/>
  <c r="I2011" i="1" s="1"/>
  <c r="I2012" i="1" s="1" a="1"/>
  <c r="I2012" i="1" s="1"/>
  <c r="H2008" i="1" a="1"/>
  <c r="H2008" i="1" s="1"/>
  <c r="G2006" i="1" a="1"/>
  <c r="G2006" i="1" s="1"/>
  <c r="K2006" i="1" a="1"/>
  <c r="K2006" i="1" s="1"/>
  <c r="J2013" i="1" a="1"/>
  <c r="J2013" i="1" s="1"/>
  <c r="J2014" i="1" s="1" a="1"/>
  <c r="J2014" i="1" s="1"/>
  <c r="H2006" i="1" a="1"/>
  <c r="H2006" i="1" s="1"/>
  <c r="G2012" i="1" a="1"/>
  <c r="G2012" i="1" s="1"/>
  <c r="J2008" i="1" a="1"/>
  <c r="J2008" i="1" s="1"/>
  <c r="J2009" i="1" s="1" a="1"/>
  <c r="J2009" i="1" s="1"/>
  <c r="I2008" i="1" a="1"/>
  <c r="I2008" i="1" s="1"/>
  <c r="I2009" i="1" s="1" a="1"/>
  <c r="I2009" i="1" s="1"/>
  <c r="F2014" i="1" a="1"/>
  <c r="F2014" i="1" s="1"/>
  <c r="J2011" i="1" a="1"/>
  <c r="J2011" i="1" s="1"/>
  <c r="J2012" i="1" s="1" a="1"/>
  <c r="J2012" i="1" s="1"/>
  <c r="F2008" i="1" a="1"/>
  <c r="F2008" i="1" s="1"/>
  <c r="F2009" i="1" s="1" a="1"/>
  <c r="F2009" i="1" s="1"/>
  <c r="K2010" i="1" a="1"/>
  <c r="K2010" i="1" s="1"/>
  <c r="H2009" i="1" a="1"/>
  <c r="H2009" i="1" s="1"/>
  <c r="G2008" i="1" a="1"/>
  <c r="G2008" i="1" s="1"/>
  <c r="G2009" i="1" s="1" a="1"/>
  <c r="G2009" i="1" s="1"/>
  <c r="F1996" i="1" a="1"/>
  <c r="F1996" i="1" s="1"/>
  <c r="J2000" i="1" a="1"/>
  <c r="J2000" i="1" s="1"/>
  <c r="J2003" i="1" a="1"/>
  <c r="J2003" i="1" s="1"/>
  <c r="I2003" i="1" a="1"/>
  <c r="I2003" i="1" s="1"/>
  <c r="G2003" i="1" a="1"/>
  <c r="G2003" i="1" s="1"/>
  <c r="G2004" i="1" s="1" a="1"/>
  <c r="G2004" i="1" s="1"/>
  <c r="H2001" i="1" a="1"/>
  <c r="H2001" i="1" s="1"/>
  <c r="F2000" i="1" a="1"/>
  <c r="F2000" i="1" s="1"/>
  <c r="J1998" i="1" a="1"/>
  <c r="J1998" i="1" s="1"/>
  <c r="J1999" i="1" s="1" a="1"/>
  <c r="J1999" i="1" s="1"/>
  <c r="J2001" i="1" a="1"/>
  <c r="J2001" i="1" s="1"/>
  <c r="F1995" i="1" a="1"/>
  <c r="F1995" i="1" s="1"/>
  <c r="I2001" i="1" a="1"/>
  <c r="I2001" i="1" s="1"/>
  <c r="I2002" i="1" s="1" a="1"/>
  <c r="I2002" i="1" s="1"/>
  <c r="H2000" i="1" a="1"/>
  <c r="H2000" i="1" s="1"/>
  <c r="K2000" i="1" a="1"/>
  <c r="K2000" i="1" s="1"/>
  <c r="H1998" i="1" a="1"/>
  <c r="H1998" i="1" s="1"/>
  <c r="H1999" i="1" s="1" a="1"/>
  <c r="H1999" i="1" s="1"/>
  <c r="I1998" i="1" a="1"/>
  <c r="I1998" i="1" s="1"/>
  <c r="I1999" i="1" s="1" a="1"/>
  <c r="I1999" i="1" s="1"/>
  <c r="J1996" i="1" a="1"/>
  <c r="J1996" i="1" s="1"/>
  <c r="K2003" i="1" a="1"/>
  <c r="K2003" i="1" s="1"/>
  <c r="K2004" i="1" s="1" a="1"/>
  <c r="K2004" i="1" s="1"/>
  <c r="F2003" i="1" a="1"/>
  <c r="F2003" i="1" s="1"/>
  <c r="K2005" i="1" a="1"/>
  <c r="K2005" i="1" s="1"/>
  <c r="I1995" i="1" a="1"/>
  <c r="I1995" i="1" s="1"/>
  <c r="J2005" i="1" a="1"/>
  <c r="J2005" i="1" s="1"/>
  <c r="I2005" i="1" a="1"/>
  <c r="I2005" i="1" s="1"/>
  <c r="H2005" i="1" a="1"/>
  <c r="H2005" i="1" s="1"/>
  <c r="G2005" i="1" a="1"/>
  <c r="G2005" i="1" s="1"/>
  <c r="H1996" i="1" a="1"/>
  <c r="H1996" i="1" s="1"/>
  <c r="F2001" i="1" a="1"/>
  <c r="F2001" i="1" s="1"/>
  <c r="F2002" i="1" s="1" a="1"/>
  <c r="F2002" i="1" s="1"/>
  <c r="K1996" i="1" a="1"/>
  <c r="K1996" i="1" s="1"/>
  <c r="F2005" i="1" a="1"/>
  <c r="F2005" i="1" s="1"/>
  <c r="K1998" i="1" a="1"/>
  <c r="K1998" i="1" s="1"/>
  <c r="K1999" i="1" s="1" a="1"/>
  <c r="K1999" i="1" s="1"/>
  <c r="G1998" i="1" a="1"/>
  <c r="G1998" i="1" s="1"/>
  <c r="G1999" i="1" s="1" a="1"/>
  <c r="G1999" i="1" s="1"/>
  <c r="F1998" i="1" a="1"/>
  <c r="F1998" i="1" s="1"/>
  <c r="F1999" i="1" s="1" a="1"/>
  <c r="F1999" i="1" s="1"/>
  <c r="K2001" i="1" a="1"/>
  <c r="K2001" i="1" s="1"/>
  <c r="K2002" i="1" s="1" a="1"/>
  <c r="K2002" i="1" s="1"/>
  <c r="H2002" i="1" a="1"/>
  <c r="H2002" i="1" s="1"/>
  <c r="K1995" i="1" a="1"/>
  <c r="K1995" i="1" s="1"/>
  <c r="F2004" i="1" a="1"/>
  <c r="F2004" i="1" s="1"/>
  <c r="H2003" i="1" a="1"/>
  <c r="H2003" i="1" s="1"/>
  <c r="H2004" i="1" s="1" a="1"/>
  <c r="H2004" i="1" s="1"/>
  <c r="J2002" i="1" a="1"/>
  <c r="J2002" i="1" s="1"/>
  <c r="J1995" i="1" a="1"/>
  <c r="J1995" i="1" s="1"/>
  <c r="G2001" i="1" a="1"/>
  <c r="G2001" i="1" s="1"/>
  <c r="G2002" i="1" s="1" a="1"/>
  <c r="G2002" i="1" s="1"/>
  <c r="I1996" i="1" a="1"/>
  <c r="I1996" i="1" s="1"/>
  <c r="H1995" i="1" a="1"/>
  <c r="H1995" i="1" s="1"/>
  <c r="G1995" i="1" a="1"/>
  <c r="G1995" i="1" s="1"/>
  <c r="G1996" i="1" a="1"/>
  <c r="G1996" i="1" s="1"/>
  <c r="K1994" i="1" a="1"/>
  <c r="K1994" i="1" s="1"/>
  <c r="J2004" i="1" a="1"/>
  <c r="J2004" i="1" s="1"/>
  <c r="I2004" i="1" a="1"/>
  <c r="I2004" i="1" s="1"/>
  <c r="I2000" i="1" a="1"/>
  <c r="I2000" i="1" s="1"/>
  <c r="G2000" i="1" a="1"/>
  <c r="G2000" i="1" s="1"/>
  <c r="G1990" i="1" a="1"/>
  <c r="G1990" i="1" s="1"/>
  <c r="J1992" i="1" a="1"/>
  <c r="J1992" i="1" s="1"/>
  <c r="J1988" i="1" a="1"/>
  <c r="J1988" i="1" s="1"/>
  <c r="H1991" i="1" a="1"/>
  <c r="H1991" i="1" s="1"/>
  <c r="J1993" i="1" a="1"/>
  <c r="J1993" i="1" s="1"/>
  <c r="I1993" i="1" a="1"/>
  <c r="I1993" i="1" s="1"/>
  <c r="H1992" i="1" a="1"/>
  <c r="H1992" i="1" s="1"/>
  <c r="I1984" i="1" a="1"/>
  <c r="I1984" i="1" s="1"/>
  <c r="H1993" i="1" a="1"/>
  <c r="H1993" i="1" s="1"/>
  <c r="K1992" i="1" a="1"/>
  <c r="K1992" i="1" s="1"/>
  <c r="F1988" i="1" a="1"/>
  <c r="F1988" i="1" s="1"/>
  <c r="H1985" i="1" a="1"/>
  <c r="H1985" i="1" s="1"/>
  <c r="J1991" i="1" a="1"/>
  <c r="J1991" i="1" s="1"/>
  <c r="I1990" i="1" a="1"/>
  <c r="I1990" i="1" s="1"/>
  <c r="G1993" i="1" a="1"/>
  <c r="G1993" i="1" s="1"/>
  <c r="I1989" i="1" a="1"/>
  <c r="I1989" i="1" s="1"/>
  <c r="G1988" i="1" a="1"/>
  <c r="G1988" i="1" s="1"/>
  <c r="H1989" i="1" a="1"/>
  <c r="H1989" i="1" s="1"/>
  <c r="G1985" i="1" a="1"/>
  <c r="G1985" i="1" s="1"/>
  <c r="F1993" i="1" a="1"/>
  <c r="F1993" i="1" s="1"/>
  <c r="J1987" i="1" a="1"/>
  <c r="J1987" i="1" s="1"/>
  <c r="G1992" i="1" a="1"/>
  <c r="G1992" i="1" s="1"/>
  <c r="J1984" i="1" a="1"/>
  <c r="J1984" i="1" s="1"/>
  <c r="F1992" i="1" a="1"/>
  <c r="F1992" i="1" s="1"/>
  <c r="K1991" i="1" a="1"/>
  <c r="K1991" i="1" s="1"/>
  <c r="G1991" i="1" a="1"/>
  <c r="G1991" i="1" s="1"/>
  <c r="K1988" i="1" a="1"/>
  <c r="K1988" i="1" s="1"/>
  <c r="I1986" i="1" a="1"/>
  <c r="I1986" i="1" s="1"/>
  <c r="H1988" i="1" a="1"/>
  <c r="H1988" i="1" s="1"/>
  <c r="G1986" i="1" a="1"/>
  <c r="G1986" i="1" s="1"/>
  <c r="H1986" i="1" a="1"/>
  <c r="H1986" i="1" s="1"/>
  <c r="I1988" i="1" a="1"/>
  <c r="I1988" i="1" s="1"/>
  <c r="I1991" i="1" a="1"/>
  <c r="I1991" i="1" s="1"/>
  <c r="J1990" i="1" a="1"/>
  <c r="J1990" i="1" s="1"/>
  <c r="I1987" i="1" a="1"/>
  <c r="I1987" i="1" s="1"/>
  <c r="H1987" i="1" a="1"/>
  <c r="H1987" i="1" s="1"/>
  <c r="K1986" i="1" a="1"/>
  <c r="K1986" i="1" s="1"/>
  <c r="F1991" i="1" a="1"/>
  <c r="F1991" i="1" s="1"/>
  <c r="I1985" i="1" a="1"/>
  <c r="I1985" i="1" s="1"/>
  <c r="H1984" i="1" a="1"/>
  <c r="H1984" i="1" s="1"/>
  <c r="H1990" i="1" a="1"/>
  <c r="H1990" i="1" s="1"/>
  <c r="J1989" i="1" a="1"/>
  <c r="J1989" i="1" s="1"/>
  <c r="K1985" i="1" a="1"/>
  <c r="K1985" i="1" s="1"/>
  <c r="F1986" i="1" a="1"/>
  <c r="F1986" i="1" s="1"/>
  <c r="J1985" i="1" a="1"/>
  <c r="J1985" i="1" s="1"/>
  <c r="K1984" i="1" a="1"/>
  <c r="K1984" i="1" s="1"/>
  <c r="J1986" i="1" a="1"/>
  <c r="J1986" i="1" s="1"/>
  <c r="G1989" i="1" a="1"/>
  <c r="G1989" i="1" s="1"/>
  <c r="K1987" i="1" a="1"/>
  <c r="K1987" i="1" s="1"/>
  <c r="G1984" i="1" a="1"/>
  <c r="G1984" i="1" s="1"/>
  <c r="K1990" i="1" a="1"/>
  <c r="K1990" i="1" s="1"/>
  <c r="F1990" i="1" a="1"/>
  <c r="F1990" i="1" s="1"/>
  <c r="K1989" i="1" a="1"/>
  <c r="K1989" i="1" s="1"/>
  <c r="G1987" i="1" a="1"/>
  <c r="G1987" i="1" s="1"/>
  <c r="J1994" i="1" a="1"/>
  <c r="J1994" i="1" s="1"/>
  <c r="I1994" i="1" a="1"/>
  <c r="I1994" i="1" s="1"/>
  <c r="H1994" i="1" a="1"/>
  <c r="H1994" i="1" s="1"/>
  <c r="G1994" i="1" a="1"/>
  <c r="G1994" i="1" s="1"/>
  <c r="F1994" i="1" a="1"/>
  <c r="F1994" i="1" s="1"/>
  <c r="F1989" i="1" a="1"/>
  <c r="F1989" i="1" s="1"/>
  <c r="F1987" i="1" a="1"/>
  <c r="F1987" i="1" s="1"/>
  <c r="F1985" i="1" a="1"/>
  <c r="F1985" i="1" s="1"/>
  <c r="I1992" i="1" a="1"/>
  <c r="I1992" i="1" s="1"/>
  <c r="K1993" i="1" a="1"/>
  <c r="K1993" i="1" s="1"/>
  <c r="F1972" i="1" a="1"/>
  <c r="F1972" i="1" s="1"/>
  <c r="H1971" i="1" a="1"/>
  <c r="H1971" i="1" s="1"/>
  <c r="J1969" i="1" a="1"/>
  <c r="J1969" i="1" s="1"/>
  <c r="K1969" i="1" a="1"/>
  <c r="K1969" i="1" s="1"/>
  <c r="H1970" i="1" a="1"/>
  <c r="H1970" i="1" s="1"/>
  <c r="G1969" i="1" a="1"/>
  <c r="G1969" i="1" s="1"/>
  <c r="I1968" i="1" a="1"/>
  <c r="I1968" i="1" s="1"/>
  <c r="F1967" i="1" a="1"/>
  <c r="F1967" i="1" s="1"/>
  <c r="K1964" i="1" a="1"/>
  <c r="K1964" i="1" s="1"/>
  <c r="I1967" i="1" a="1"/>
  <c r="I1967" i="1" s="1"/>
  <c r="H1968" i="1" a="1"/>
  <c r="H1968" i="1" s="1"/>
  <c r="I1965" i="1" a="1"/>
  <c r="I1965" i="1" s="1"/>
  <c r="F1968" i="1" a="1"/>
  <c r="F1968" i="1" s="1"/>
  <c r="G1965" i="1" a="1"/>
  <c r="G1965" i="1" s="1"/>
  <c r="F1964" i="1" a="1"/>
  <c r="F1964" i="1" s="1"/>
  <c r="J1967" i="1" a="1"/>
  <c r="J1967" i="1" s="1"/>
  <c r="I1966" i="1" a="1"/>
  <c r="I1966" i="1" s="1"/>
  <c r="J1964" i="1" a="1"/>
  <c r="J1964" i="1" s="1"/>
  <c r="G1967" i="1" a="1"/>
  <c r="G1967" i="1" s="1"/>
  <c r="K1965" i="1" a="1"/>
  <c r="K1965" i="1" s="1"/>
  <c r="G1966" i="1" a="1"/>
  <c r="G1966" i="1" s="1"/>
  <c r="J1968" i="1" a="1"/>
  <c r="J1968" i="1" s="1"/>
  <c r="H1969" i="1" a="1"/>
  <c r="H1969" i="1" s="1"/>
  <c r="H1966" i="1" a="1"/>
  <c r="H1966" i="1" s="1"/>
  <c r="H1964" i="1" a="1"/>
  <c r="H1964" i="1" s="1"/>
  <c r="G1964" i="1" a="1"/>
  <c r="G1964" i="1" s="1"/>
  <c r="F1970" i="1" a="1"/>
  <c r="F1970" i="1" s="1"/>
  <c r="I1970" i="1" a="1"/>
  <c r="I1970" i="1" s="1"/>
  <c r="I1964" i="1" a="1"/>
  <c r="I1964" i="1" s="1"/>
  <c r="I1972" i="1" a="1"/>
  <c r="I1972" i="1" s="1"/>
  <c r="K1966" i="1" a="1"/>
  <c r="K1966" i="1" s="1"/>
  <c r="G1971" i="1" a="1"/>
  <c r="G1971" i="1" s="1"/>
  <c r="K1970" i="1" a="1"/>
  <c r="K1970" i="1" s="1"/>
  <c r="F1969" i="1" a="1"/>
  <c r="F1969" i="1" s="1"/>
  <c r="J1965" i="1" a="1"/>
  <c r="J1965" i="1" s="1"/>
  <c r="K1972" i="1" a="1"/>
  <c r="K1972" i="1" s="1"/>
  <c r="J1972" i="1" a="1"/>
  <c r="J1972" i="1" s="1"/>
  <c r="F1965" i="1" a="1"/>
  <c r="F1965" i="1" s="1"/>
  <c r="F1966" i="1" a="1"/>
  <c r="F1966" i="1" s="1"/>
  <c r="G1968" i="1" a="1"/>
  <c r="G1968" i="1" s="1"/>
  <c r="K1967" i="1" a="1"/>
  <c r="K1967" i="1" s="1"/>
  <c r="H1972" i="1" a="1"/>
  <c r="H1972" i="1" s="1"/>
  <c r="G1970" i="1" a="1"/>
  <c r="G1970" i="1" s="1"/>
  <c r="K1971" i="1" a="1"/>
  <c r="K1971" i="1" s="1"/>
  <c r="J1971" i="1" a="1"/>
  <c r="J1971" i="1" s="1"/>
  <c r="I1971" i="1" a="1"/>
  <c r="I1971" i="1" s="1"/>
  <c r="F1971" i="1" a="1"/>
  <c r="F1971" i="1" s="1"/>
  <c r="J1966" i="1" a="1"/>
  <c r="J1966" i="1" s="1"/>
  <c r="H1967" i="1" a="1"/>
  <c r="H1967" i="1" s="1"/>
  <c r="J1970" i="1" a="1"/>
  <c r="J1970" i="1" s="1"/>
  <c r="H1965" i="1" a="1"/>
  <c r="H1965" i="1" s="1"/>
  <c r="I1969" i="1" a="1"/>
  <c r="I1969" i="1" s="1"/>
  <c r="G1972" i="1" a="1"/>
  <c r="G1972" i="1" s="1"/>
  <c r="K1968" i="1" a="1"/>
  <c r="K1968" i="1" s="1"/>
  <c r="K1961" i="1" a="1"/>
  <c r="K1961" i="1" s="1"/>
  <c r="I1961" i="1" a="1"/>
  <c r="I1961" i="1" s="1"/>
  <c r="I1959" i="1" a="1"/>
  <c r="I1959" i="1" s="1"/>
  <c r="F1959" i="1" a="1"/>
  <c r="F1959" i="1" s="1"/>
  <c r="H1957" i="1" a="1"/>
  <c r="H1957" i="1" s="1"/>
  <c r="J1953" i="1" a="1"/>
  <c r="J1953" i="1" s="1"/>
  <c r="H1961" i="1" a="1"/>
  <c r="H1961" i="1" s="1"/>
  <c r="H1960" i="1" a="1"/>
  <c r="H1960" i="1" s="1"/>
  <c r="K1955" i="1" a="1"/>
  <c r="K1955" i="1" s="1"/>
  <c r="F1958" i="1" a="1"/>
  <c r="F1958" i="1" s="1"/>
  <c r="F1957" i="1" a="1"/>
  <c r="F1957" i="1" s="1"/>
  <c r="K1954" i="1" a="1"/>
  <c r="K1954" i="1" s="1"/>
  <c r="G1954" i="1" a="1"/>
  <c r="G1954" i="1" s="1"/>
  <c r="J1960" i="1" a="1"/>
  <c r="J1960" i="1" s="1"/>
  <c r="H1959" i="1" a="1"/>
  <c r="H1959" i="1" s="1"/>
  <c r="G1955" i="1" a="1"/>
  <c r="G1955" i="1" s="1"/>
  <c r="G1963" i="1" a="1"/>
  <c r="G1963" i="1" s="1"/>
  <c r="F1963" i="1" a="1"/>
  <c r="F1963" i="1" s="1"/>
  <c r="G1962" i="1" a="1"/>
  <c r="G1962" i="1" s="1"/>
  <c r="G1957" i="1" a="1"/>
  <c r="G1957" i="1" s="1"/>
  <c r="J1962" i="1" a="1"/>
  <c r="J1962" i="1" s="1"/>
  <c r="I1955" i="1" a="1"/>
  <c r="I1955" i="1" s="1"/>
  <c r="F1962" i="1" a="1"/>
  <c r="F1962" i="1" s="1"/>
  <c r="G1961" i="1" a="1"/>
  <c r="G1961" i="1" s="1"/>
  <c r="G1958" i="1" a="1"/>
  <c r="G1958" i="1" s="1"/>
  <c r="J1954" i="1" a="1"/>
  <c r="J1954" i="1" s="1"/>
  <c r="J1959" i="1" a="1"/>
  <c r="J1959" i="1" s="1"/>
  <c r="K1958" i="1" a="1"/>
  <c r="K1958" i="1" s="1"/>
  <c r="I1958" i="1" a="1"/>
  <c r="I1958" i="1" s="1"/>
  <c r="J1955" i="1" a="1"/>
  <c r="J1955" i="1" s="1"/>
  <c r="J1958" i="1" a="1"/>
  <c r="J1958" i="1" s="1"/>
  <c r="K1957" i="1" a="1"/>
  <c r="K1957" i="1" s="1"/>
  <c r="H1954" i="1" a="1"/>
  <c r="H1954" i="1" s="1"/>
  <c r="J1956" i="1" a="1"/>
  <c r="J1956" i="1" s="1"/>
  <c r="H1955" i="1" a="1"/>
  <c r="H1955" i="1" s="1"/>
  <c r="F1955" i="1" a="1"/>
  <c r="F1955" i="1" s="1"/>
  <c r="H1958" i="1" a="1"/>
  <c r="H1958" i="1" s="1"/>
  <c r="I1957" i="1" a="1"/>
  <c r="I1957" i="1" s="1"/>
  <c r="I1953" i="1" a="1"/>
  <c r="I1953" i="1" s="1"/>
  <c r="I1956" i="1" a="1"/>
  <c r="I1956" i="1" s="1"/>
  <c r="K1956" i="1" a="1"/>
  <c r="K1956" i="1" s="1"/>
  <c r="G1956" i="1" a="1"/>
  <c r="G1956" i="1" s="1"/>
  <c r="H1953" i="1" a="1"/>
  <c r="H1953" i="1" s="1"/>
  <c r="H1963" i="1" a="1"/>
  <c r="H1963" i="1" s="1"/>
  <c r="J1961" i="1" a="1"/>
  <c r="J1961" i="1" s="1"/>
  <c r="I1960" i="1" a="1"/>
  <c r="I1960" i="1" s="1"/>
  <c r="K1963" i="1" a="1"/>
  <c r="K1963" i="1" s="1"/>
  <c r="F1961" i="1" a="1"/>
  <c r="F1961" i="1" s="1"/>
  <c r="F1960" i="1" a="1"/>
  <c r="F1960" i="1" s="1"/>
  <c r="J1963" i="1" a="1"/>
  <c r="J1963" i="1" s="1"/>
  <c r="G1960" i="1" a="1"/>
  <c r="G1960" i="1" s="1"/>
  <c r="F1956" i="1" a="1"/>
  <c r="F1956" i="1" s="1"/>
  <c r="K1959" i="1" a="1"/>
  <c r="K1959" i="1" s="1"/>
  <c r="G1959" i="1" a="1"/>
  <c r="G1959" i="1" s="1"/>
  <c r="I1963" i="1" a="1"/>
  <c r="I1963" i="1" s="1"/>
  <c r="K1962" i="1" a="1"/>
  <c r="K1962" i="1" s="1"/>
  <c r="I1962" i="1" a="1"/>
  <c r="I1962" i="1" s="1"/>
  <c r="I1954" i="1" a="1"/>
  <c r="I1954" i="1" s="1"/>
  <c r="K1953" i="1" a="1"/>
  <c r="K1953" i="1" s="1"/>
  <c r="H1962" i="1" a="1"/>
  <c r="H1962" i="1" s="1"/>
  <c r="F1954" i="1" a="1"/>
  <c r="F1954" i="1" s="1"/>
  <c r="K1960" i="1" a="1"/>
  <c r="K1960" i="1" s="1"/>
  <c r="J1957" i="1" a="1"/>
  <c r="J1957" i="1" s="1"/>
  <c r="H1956" i="1" a="1"/>
  <c r="H1956" i="1" s="1"/>
  <c r="K1943" i="1" a="1"/>
  <c r="K1943" i="1" s="1"/>
  <c r="H1947" i="1" a="1"/>
  <c r="H1947" i="1" s="1"/>
  <c r="G1953" i="1" a="1"/>
  <c r="G1953" i="1" s="1"/>
  <c r="H1948" i="1" a="1"/>
  <c r="H1948" i="1" s="1"/>
  <c r="G1947" i="1" a="1"/>
  <c r="G1947" i="1" s="1"/>
  <c r="G1950" i="1" a="1"/>
  <c r="G1950" i="1" s="1"/>
  <c r="K1942" i="1" a="1"/>
  <c r="K1942" i="1" s="1"/>
  <c r="F1953" i="1" a="1"/>
  <c r="F1953" i="1" s="1"/>
  <c r="K1945" i="1" a="1"/>
  <c r="K1945" i="1" s="1"/>
  <c r="J1947" i="1" a="1"/>
  <c r="J1947" i="1" s="1"/>
  <c r="F1951" i="1" a="1"/>
  <c r="F1951" i="1" s="1"/>
  <c r="F1943" i="1" a="1"/>
  <c r="F1943" i="1" s="1"/>
  <c r="K1952" i="1" a="1"/>
  <c r="K1952" i="1" s="1"/>
  <c r="J1952" i="1" a="1"/>
  <c r="J1952" i="1" s="1"/>
  <c r="J1951" i="1" a="1"/>
  <c r="J1951" i="1" s="1"/>
  <c r="H1950" i="1" a="1"/>
  <c r="H1950" i="1" s="1"/>
  <c r="H1942" i="1" a="1"/>
  <c r="H1942" i="1" s="1"/>
  <c r="H1952" i="1" a="1"/>
  <c r="H1952" i="1" s="1"/>
  <c r="G1952" i="1" a="1"/>
  <c r="G1952" i="1" s="1"/>
  <c r="I1948" i="1" a="1"/>
  <c r="I1948" i="1" s="1"/>
  <c r="F1950" i="1" a="1"/>
  <c r="F1950" i="1" s="1"/>
  <c r="F1944" i="1" a="1"/>
  <c r="F1944" i="1" s="1"/>
  <c r="F1948" i="1" a="1"/>
  <c r="F1948" i="1" s="1"/>
  <c r="I1951" i="1" a="1"/>
  <c r="I1951" i="1" s="1"/>
  <c r="G1948" i="1" a="1"/>
  <c r="G1948" i="1" s="1"/>
  <c r="K1946" i="1" a="1"/>
  <c r="K1946" i="1" s="1"/>
  <c r="F1952" i="1" a="1"/>
  <c r="F1952" i="1" s="1"/>
  <c r="K1951" i="1" a="1"/>
  <c r="K1951" i="1" s="1"/>
  <c r="H1944" i="1" a="1"/>
  <c r="H1944" i="1" s="1"/>
  <c r="G1944" i="1" a="1"/>
  <c r="G1944" i="1" s="1"/>
  <c r="H1951" i="1" a="1"/>
  <c r="H1951" i="1" s="1"/>
  <c r="G1942" i="1" a="1"/>
  <c r="G1942" i="1" s="1"/>
  <c r="F1945" i="1" a="1"/>
  <c r="F1945" i="1" s="1"/>
  <c r="I1947" i="1" a="1"/>
  <c r="I1947" i="1" s="1"/>
  <c r="J1950" i="1" a="1"/>
  <c r="J1950" i="1" s="1"/>
  <c r="K1948" i="1" a="1"/>
  <c r="K1948" i="1" s="1"/>
  <c r="K1947" i="1" a="1"/>
  <c r="K1947" i="1" s="1"/>
  <c r="H1946" i="1" a="1"/>
  <c r="H1946" i="1" s="1"/>
  <c r="J1945" i="1" a="1"/>
  <c r="J1945" i="1" s="1"/>
  <c r="H1945" i="1" a="1"/>
  <c r="H1945" i="1" s="1"/>
  <c r="J1943" i="1" a="1"/>
  <c r="J1943" i="1" s="1"/>
  <c r="I1942" i="1" a="1"/>
  <c r="I1942" i="1" s="1"/>
  <c r="I1946" i="1" a="1"/>
  <c r="I1946" i="1" s="1"/>
  <c r="F1947" i="1" a="1"/>
  <c r="F1947" i="1" s="1"/>
  <c r="G1945" i="1" a="1"/>
  <c r="G1945" i="1" s="1"/>
  <c r="H1943" i="1" a="1"/>
  <c r="H1943" i="1" s="1"/>
  <c r="J1942" i="1" a="1"/>
  <c r="J1942" i="1" s="1"/>
  <c r="K1944" i="1" a="1"/>
  <c r="K1944" i="1" s="1"/>
  <c r="J1946" i="1" a="1"/>
  <c r="J1946" i="1" s="1"/>
  <c r="J1944" i="1" a="1"/>
  <c r="J1944" i="1" s="1"/>
  <c r="K1950" i="1" a="1"/>
  <c r="K1950" i="1" s="1"/>
  <c r="F1946" i="1" a="1"/>
  <c r="F1946" i="1" s="1"/>
  <c r="G1943" i="1" a="1"/>
  <c r="G1943" i="1" s="1"/>
  <c r="J1948" i="1" a="1"/>
  <c r="J1948" i="1" s="1"/>
  <c r="G1951" i="1" a="1"/>
  <c r="G1951" i="1" s="1"/>
  <c r="G1946" i="1" a="1"/>
  <c r="G1946" i="1" s="1"/>
  <c r="I1944" i="1" a="1"/>
  <c r="I1944" i="1" s="1"/>
  <c r="I1943" i="1" a="1"/>
  <c r="I1943" i="1" s="1"/>
  <c r="I1952" i="1" a="1"/>
  <c r="I1952" i="1" s="1"/>
  <c r="I1950" i="1" a="1"/>
  <c r="I1950" i="1" s="1"/>
  <c r="I1945" i="1" a="1"/>
  <c r="I1945" i="1" s="1"/>
  <c r="K1939" i="1" a="1"/>
  <c r="K1939" i="1" s="1"/>
  <c r="I1934" i="1" a="1"/>
  <c r="I1934" i="1" s="1"/>
  <c r="H1939" i="1" a="1"/>
  <c r="H1939" i="1" s="1"/>
  <c r="J1934" i="1" a="1"/>
  <c r="J1934" i="1" s="1"/>
  <c r="K1931" i="1" a="1"/>
  <c r="K1931" i="1" s="1"/>
  <c r="F1938" i="1" a="1"/>
  <c r="F1938" i="1" s="1"/>
  <c r="I1933" i="1" a="1"/>
  <c r="I1933" i="1" s="1"/>
  <c r="J1933" i="1" a="1"/>
  <c r="J1933" i="1" s="1"/>
  <c r="I1931" i="1" a="1"/>
  <c r="I1931" i="1" s="1"/>
  <c r="H1937" i="1" a="1"/>
  <c r="H1937" i="1" s="1"/>
  <c r="J1936" i="1" a="1"/>
  <c r="J1936" i="1" s="1"/>
  <c r="J1941" i="1" a="1"/>
  <c r="J1941" i="1" s="1"/>
  <c r="G1940" i="1" a="1"/>
  <c r="G1940" i="1" s="1"/>
  <c r="F1935" i="1" a="1"/>
  <c r="F1935" i="1" s="1"/>
  <c r="H1932" i="1" a="1"/>
  <c r="H1932" i="1" s="1"/>
  <c r="I1939" i="1" a="1"/>
  <c r="I1939" i="1" s="1"/>
  <c r="H1938" i="1" a="1"/>
  <c r="H1938" i="1" s="1"/>
  <c r="J1938" i="1" a="1"/>
  <c r="J1938" i="1" s="1"/>
  <c r="H1935" i="1" a="1"/>
  <c r="H1935" i="1" s="1"/>
  <c r="G1934" i="1" a="1"/>
  <c r="G1934" i="1" s="1"/>
  <c r="H1933" i="1" a="1"/>
  <c r="H1933" i="1" s="1"/>
  <c r="G1936" i="1" a="1"/>
  <c r="G1936" i="1" s="1"/>
  <c r="F1942" i="1" a="1"/>
  <c r="F1942" i="1" s="1"/>
  <c r="K1940" i="1" a="1"/>
  <c r="K1940" i="1" s="1"/>
  <c r="H1940" i="1" a="1"/>
  <c r="H1940" i="1" s="1"/>
  <c r="J1939" i="1" a="1"/>
  <c r="J1939" i="1" s="1"/>
  <c r="G1937" i="1" a="1"/>
  <c r="G1937" i="1" s="1"/>
  <c r="F1932" i="1" a="1"/>
  <c r="F1932" i="1" s="1"/>
  <c r="F1939" i="1" a="1"/>
  <c r="F1939" i="1" s="1"/>
  <c r="K1934" i="1" a="1"/>
  <c r="K1934" i="1" s="1"/>
  <c r="H1934" i="1" a="1"/>
  <c r="H1934" i="1" s="1"/>
  <c r="I1940" i="1" a="1"/>
  <c r="I1940" i="1" s="1"/>
  <c r="I1932" i="1" a="1"/>
  <c r="I1932" i="1" s="1"/>
  <c r="I1941" i="1" a="1"/>
  <c r="I1941" i="1" s="1"/>
  <c r="H1941" i="1" a="1"/>
  <c r="H1941" i="1" s="1"/>
  <c r="J1931" i="1" a="1"/>
  <c r="J1931" i="1" s="1"/>
  <c r="J1937" i="1" a="1"/>
  <c r="J1937" i="1" s="1"/>
  <c r="F1933" i="1" a="1"/>
  <c r="F1933" i="1" s="1"/>
  <c r="J1932" i="1" a="1"/>
  <c r="J1932" i="1" s="1"/>
  <c r="G1941" i="1" a="1"/>
  <c r="G1941" i="1" s="1"/>
  <c r="F1941" i="1" a="1"/>
  <c r="F1941" i="1" s="1"/>
  <c r="K1938" i="1" a="1"/>
  <c r="K1938" i="1" s="1"/>
  <c r="I1936" i="1" a="1"/>
  <c r="I1936" i="1" s="1"/>
  <c r="F1940" i="1" a="1"/>
  <c r="F1940" i="1" s="1"/>
  <c r="G1939" i="1" a="1"/>
  <c r="G1939" i="1" s="1"/>
  <c r="K1932" i="1" a="1"/>
  <c r="K1932" i="1" s="1"/>
  <c r="I1935" i="1" a="1"/>
  <c r="I1935" i="1" s="1"/>
  <c r="H1936" i="1" a="1"/>
  <c r="H1936" i="1" s="1"/>
  <c r="I1937" i="1" a="1"/>
  <c r="I1937" i="1" s="1"/>
  <c r="K1936" i="1" a="1"/>
  <c r="K1936" i="1" s="1"/>
  <c r="G1935" i="1" a="1"/>
  <c r="G1935" i="1" s="1"/>
  <c r="F1934" i="1" a="1"/>
  <c r="F1934" i="1" s="1"/>
  <c r="G1938" i="1" a="1"/>
  <c r="G1938" i="1" s="1"/>
  <c r="F1936" i="1" a="1"/>
  <c r="F1936" i="1" s="1"/>
  <c r="K1937" i="1" a="1"/>
  <c r="K1937" i="1" s="1"/>
  <c r="K1935" i="1" a="1"/>
  <c r="K1935" i="1" s="1"/>
  <c r="G1933" i="1" a="1"/>
  <c r="G1933" i="1" s="1"/>
  <c r="G1932" i="1" a="1"/>
  <c r="G1932" i="1" s="1"/>
  <c r="I1938" i="1" a="1"/>
  <c r="I1938" i="1" s="1"/>
  <c r="J1935" i="1" a="1"/>
  <c r="J1935" i="1" s="1"/>
  <c r="F1937" i="1" a="1"/>
  <c r="F1937" i="1" s="1"/>
  <c r="K1933" i="1" a="1"/>
  <c r="K1933" i="1" s="1"/>
  <c r="K1941" i="1" a="1"/>
  <c r="K1941" i="1" s="1"/>
  <c r="J1940" i="1" a="1"/>
  <c r="J1940" i="1" s="1"/>
  <c r="F1927" i="1" a="1"/>
  <c r="F1927" i="1" s="1"/>
  <c r="I1925" i="1" a="1"/>
  <c r="I1925" i="1" s="1"/>
  <c r="K1924" i="1" a="1"/>
  <c r="K1924" i="1" s="1"/>
  <c r="K1922" i="1" a="1"/>
  <c r="K1922" i="1" s="1"/>
  <c r="F1921" i="1" a="1"/>
  <c r="F1921" i="1" s="1"/>
  <c r="H1924" i="1" a="1"/>
  <c r="H1924" i="1" s="1"/>
  <c r="H1931" i="1" a="1"/>
  <c r="H1931" i="1" s="1"/>
  <c r="G1931" i="1" a="1"/>
  <c r="G1931" i="1" s="1"/>
  <c r="J1923" i="1" a="1"/>
  <c r="J1923" i="1" s="1"/>
  <c r="J1922" i="1" a="1"/>
  <c r="J1922" i="1" s="1"/>
  <c r="F1931" i="1" a="1"/>
  <c r="F1931" i="1" s="1"/>
  <c r="K1928" i="1" a="1"/>
  <c r="K1928" i="1" s="1"/>
  <c r="H1928" i="1" a="1"/>
  <c r="H1928" i="1" s="1"/>
  <c r="F1924" i="1" a="1"/>
  <c r="F1924" i="1" s="1"/>
  <c r="K1927" i="1" a="1"/>
  <c r="K1927" i="1" s="1"/>
  <c r="J1927" i="1" a="1"/>
  <c r="J1927" i="1" s="1"/>
  <c r="I1926" i="1" a="1"/>
  <c r="I1926" i="1" s="1"/>
  <c r="H1922" i="1" a="1"/>
  <c r="H1922" i="1" s="1"/>
  <c r="J1925" i="1" a="1"/>
  <c r="J1925" i="1" s="1"/>
  <c r="K1930" i="1" a="1"/>
  <c r="K1930" i="1" s="1"/>
  <c r="F1930" i="1" a="1"/>
  <c r="F1930" i="1" s="1"/>
  <c r="J1930" i="1" a="1"/>
  <c r="J1930" i="1" s="1"/>
  <c r="I1923" i="1" a="1"/>
  <c r="I1923" i="1" s="1"/>
  <c r="H1923" i="1" a="1"/>
  <c r="H1923" i="1" s="1"/>
  <c r="I1930" i="1" a="1"/>
  <c r="I1930" i="1" s="1"/>
  <c r="H1930" i="1" a="1"/>
  <c r="H1930" i="1" s="1"/>
  <c r="G1930" i="1" a="1"/>
  <c r="G1930" i="1" s="1"/>
  <c r="K1929" i="1" a="1"/>
  <c r="K1929" i="1" s="1"/>
  <c r="F1926" i="1" a="1"/>
  <c r="F1926" i="1" s="1"/>
  <c r="I1928" i="1" a="1"/>
  <c r="I1928" i="1" s="1"/>
  <c r="J1929" i="1" a="1"/>
  <c r="J1929" i="1" s="1"/>
  <c r="I1929" i="1" a="1"/>
  <c r="I1929" i="1" s="1"/>
  <c r="G1921" i="1" a="1"/>
  <c r="G1921" i="1" s="1"/>
  <c r="G1926" i="1" a="1"/>
  <c r="G1926" i="1" s="1"/>
  <c r="H1929" i="1" a="1"/>
  <c r="H1929" i="1" s="1"/>
  <c r="F1928" i="1" a="1"/>
  <c r="F1928" i="1" s="1"/>
  <c r="H1927" i="1" a="1"/>
  <c r="H1927" i="1" s="1"/>
  <c r="K1925" i="1" a="1"/>
  <c r="K1925" i="1" s="1"/>
  <c r="F1922" i="1" a="1"/>
  <c r="F1922" i="1" s="1"/>
  <c r="K1923" i="1" a="1"/>
  <c r="K1923" i="1" s="1"/>
  <c r="J1921" i="1" a="1"/>
  <c r="J1921" i="1" s="1"/>
  <c r="G1927" i="1" a="1"/>
  <c r="G1927" i="1" s="1"/>
  <c r="G1929" i="1" a="1"/>
  <c r="G1929" i="1" s="1"/>
  <c r="I1924" i="1" a="1"/>
  <c r="I1924" i="1" s="1"/>
  <c r="F1929" i="1" a="1"/>
  <c r="F1929" i="1" s="1"/>
  <c r="F1923" i="1" a="1"/>
  <c r="F1923" i="1" s="1"/>
  <c r="G1922" i="1" a="1"/>
  <c r="G1922" i="1" s="1"/>
  <c r="J1928" i="1" a="1"/>
  <c r="J1928" i="1" s="1"/>
  <c r="H1926" i="1" a="1"/>
  <c r="H1926" i="1" s="1"/>
  <c r="G1928" i="1" a="1"/>
  <c r="G1928" i="1" s="1"/>
  <c r="I1927" i="1" a="1"/>
  <c r="I1927" i="1" s="1"/>
  <c r="K1926" i="1" a="1"/>
  <c r="K1926" i="1" s="1"/>
  <c r="H1921" i="1" a="1"/>
  <c r="H1921" i="1" s="1"/>
  <c r="J1926" i="1" a="1"/>
  <c r="J1926" i="1" s="1"/>
  <c r="H1925" i="1" a="1"/>
  <c r="H1925" i="1" s="1"/>
  <c r="G1925" i="1" a="1"/>
  <c r="G1925" i="1" s="1"/>
  <c r="G1924" i="1" a="1"/>
  <c r="G1924" i="1" s="1"/>
  <c r="I1922" i="1" a="1"/>
  <c r="I1922" i="1" s="1"/>
  <c r="G1923" i="1" a="1"/>
  <c r="G1923" i="1" s="1"/>
  <c r="K1920" i="1" a="1"/>
  <c r="K1920" i="1" s="1"/>
  <c r="F1925" i="1" a="1"/>
  <c r="F1925" i="1" s="1"/>
  <c r="J1924" i="1" a="1"/>
  <c r="J1924" i="1" s="1"/>
  <c r="K1921" i="1" a="1"/>
  <c r="K1921" i="1" s="1"/>
  <c r="I1921" i="1" a="1"/>
  <c r="I1921" i="1" s="1"/>
  <c r="K1912" i="1" a="1"/>
  <c r="K1912" i="1" s="1"/>
  <c r="K1913" i="1" a="1"/>
  <c r="K1913" i="1" s="1"/>
  <c r="F1911" i="1" a="1"/>
  <c r="F1911" i="1" s="1"/>
  <c r="K1910" i="1" a="1"/>
  <c r="K1910" i="1" s="1"/>
  <c r="K1915" i="1" a="1"/>
  <c r="K1915" i="1" s="1"/>
  <c r="H1912" i="1" a="1"/>
  <c r="H1912" i="1" s="1"/>
  <c r="J1910" i="1" a="1"/>
  <c r="J1910" i="1" s="1"/>
  <c r="K1916" i="1" a="1"/>
  <c r="K1916" i="1" s="1"/>
  <c r="G1911" i="1" a="1"/>
  <c r="G1911" i="1" s="1"/>
  <c r="K1914" i="1" a="1"/>
  <c r="K1914" i="1" s="1"/>
  <c r="G1914" i="1" a="1"/>
  <c r="G1914" i="1" s="1"/>
  <c r="I1911" i="1" a="1"/>
  <c r="I1911" i="1" s="1"/>
  <c r="H1911" i="1" a="1"/>
  <c r="H1911" i="1" s="1"/>
  <c r="I1917" i="1" a="1"/>
  <c r="I1917" i="1" s="1"/>
  <c r="J1913" i="1" a="1"/>
  <c r="J1913" i="1" s="1"/>
  <c r="J1912" i="1" a="1"/>
  <c r="J1912" i="1" s="1"/>
  <c r="F1920" i="1" a="1"/>
  <c r="F1920" i="1" s="1"/>
  <c r="F1919" i="1" a="1"/>
  <c r="F1919" i="1" s="1"/>
  <c r="G1917" i="1" a="1"/>
  <c r="G1917" i="1" s="1"/>
  <c r="J1919" i="1" a="1"/>
  <c r="J1919" i="1" s="1"/>
  <c r="H1915" i="1" a="1"/>
  <c r="H1915" i="1" s="1"/>
  <c r="I1919" i="1" a="1"/>
  <c r="I1919" i="1" s="1"/>
  <c r="G1919" i="1" a="1"/>
  <c r="G1919" i="1" s="1"/>
  <c r="K1918" i="1" a="1"/>
  <c r="K1918" i="1" s="1"/>
  <c r="K1911" i="1" a="1"/>
  <c r="K1911" i="1" s="1"/>
  <c r="F1915" i="1" a="1"/>
  <c r="F1915" i="1" s="1"/>
  <c r="I1916" i="1" a="1"/>
  <c r="I1916" i="1" s="1"/>
  <c r="I1918" i="1" a="1"/>
  <c r="I1918" i="1" s="1"/>
  <c r="G1918" i="1" a="1"/>
  <c r="G1918" i="1" s="1"/>
  <c r="H1914" i="1" a="1"/>
  <c r="H1914" i="1" s="1"/>
  <c r="I1914" i="1" a="1"/>
  <c r="I1914" i="1" s="1"/>
  <c r="K1917" i="1" a="1"/>
  <c r="K1917" i="1" s="1"/>
  <c r="I1913" i="1" a="1"/>
  <c r="I1913" i="1" s="1"/>
  <c r="G1910" i="1" a="1"/>
  <c r="G1910" i="1" s="1"/>
  <c r="G1913" i="1" a="1"/>
  <c r="G1913" i="1" s="1"/>
  <c r="J1911" i="1" a="1"/>
  <c r="J1911" i="1" s="1"/>
  <c r="J1916" i="1" a="1"/>
  <c r="J1916" i="1" s="1"/>
  <c r="I1912" i="1" a="1"/>
  <c r="I1912" i="1" s="1"/>
  <c r="H1916" i="1" a="1"/>
  <c r="H1916" i="1" s="1"/>
  <c r="I1915" i="1" a="1"/>
  <c r="I1915" i="1" s="1"/>
  <c r="H1919" i="1" a="1"/>
  <c r="H1919" i="1" s="1"/>
  <c r="J1918" i="1" a="1"/>
  <c r="J1918" i="1" s="1"/>
  <c r="G1916" i="1" a="1"/>
  <c r="G1916" i="1" s="1"/>
  <c r="I1910" i="1" a="1"/>
  <c r="I1910" i="1" s="1"/>
  <c r="F1913" i="1" a="1"/>
  <c r="F1913" i="1" s="1"/>
  <c r="I1920" i="1" a="1"/>
  <c r="I1920" i="1" s="1"/>
  <c r="F1916" i="1" a="1"/>
  <c r="F1916" i="1" s="1"/>
  <c r="F1912" i="1" a="1"/>
  <c r="F1912" i="1" s="1"/>
  <c r="J1920" i="1" a="1"/>
  <c r="J1920" i="1" s="1"/>
  <c r="F1918" i="1" a="1"/>
  <c r="F1918" i="1" s="1"/>
  <c r="H1920" i="1" a="1"/>
  <c r="H1920" i="1" s="1"/>
  <c r="G1920" i="1" a="1"/>
  <c r="G1920" i="1" s="1"/>
  <c r="F1917" i="1" a="1"/>
  <c r="F1917" i="1" s="1"/>
  <c r="J1914" i="1" a="1"/>
  <c r="J1914" i="1" s="1"/>
  <c r="F1914" i="1" a="1"/>
  <c r="F1914" i="1" s="1"/>
  <c r="G1912" i="1" a="1"/>
  <c r="G1912" i="1" s="1"/>
  <c r="H1910" i="1" a="1"/>
  <c r="H1910" i="1" s="1"/>
  <c r="K1919" i="1" a="1"/>
  <c r="K1919" i="1" s="1"/>
  <c r="H1918" i="1" a="1"/>
  <c r="H1918" i="1" s="1"/>
  <c r="J1917" i="1" a="1"/>
  <c r="J1917" i="1" s="1"/>
  <c r="H1917" i="1" a="1"/>
  <c r="H1917" i="1" s="1"/>
  <c r="J1915" i="1" a="1"/>
  <c r="J1915" i="1" s="1"/>
  <c r="G1915" i="1" a="1"/>
  <c r="G1915" i="1" s="1"/>
  <c r="H1913" i="1" a="1"/>
  <c r="H1913" i="1" s="1"/>
  <c r="J1909" i="1" a="1"/>
  <c r="J1909" i="1" s="1"/>
  <c r="I1909" i="1" a="1"/>
  <c r="I1909" i="1" s="1"/>
  <c r="J1903" i="1" a="1"/>
  <c r="J1903" i="1" s="1"/>
  <c r="K1901" i="1" a="1"/>
  <c r="K1901" i="1" s="1"/>
  <c r="I1900" i="1" a="1"/>
  <c r="I1900" i="1" s="1"/>
  <c r="G1909" i="1" a="1"/>
  <c r="G1909" i="1" s="1"/>
  <c r="F1909" i="1" a="1"/>
  <c r="F1909" i="1" s="1"/>
  <c r="J1905" i="1" a="1"/>
  <c r="J1905" i="1" s="1"/>
  <c r="K1903" i="1" a="1"/>
  <c r="K1903" i="1" s="1"/>
  <c r="I1902" i="1" a="1"/>
  <c r="I1902" i="1" s="1"/>
  <c r="K1907" i="1" a="1"/>
  <c r="K1907" i="1" s="1"/>
  <c r="F1906" i="1" a="1"/>
  <c r="F1906" i="1" s="1"/>
  <c r="K1900" i="1" a="1"/>
  <c r="K1900" i="1" s="1"/>
  <c r="I1908" i="1" a="1"/>
  <c r="I1908" i="1" s="1"/>
  <c r="K1908" i="1" a="1"/>
  <c r="K1908" i="1" s="1"/>
  <c r="J1904" i="1" a="1"/>
  <c r="J1904" i="1" s="1"/>
  <c r="H1908" i="1" a="1"/>
  <c r="H1908" i="1" s="1"/>
  <c r="G1908" i="1" a="1"/>
  <c r="G1908" i="1" s="1"/>
  <c r="F1908" i="1" a="1"/>
  <c r="F1908" i="1" s="1"/>
  <c r="H1907" i="1" a="1"/>
  <c r="H1907" i="1" s="1"/>
  <c r="F1907" i="1" a="1"/>
  <c r="F1907" i="1" s="1"/>
  <c r="J1906" i="1" a="1"/>
  <c r="J1906" i="1" s="1"/>
  <c r="H1905" i="1" a="1"/>
  <c r="H1905" i="1" s="1"/>
  <c r="J1902" i="1" a="1"/>
  <c r="J1902" i="1" s="1"/>
  <c r="F1900" i="1" a="1"/>
  <c r="F1900" i="1" s="1"/>
  <c r="H1902" i="1" a="1"/>
  <c r="H1902" i="1" s="1"/>
  <c r="J1901" i="1" a="1"/>
  <c r="J1901" i="1" s="1"/>
  <c r="I1903" i="1" a="1"/>
  <c r="I1903" i="1" s="1"/>
  <c r="H1904" i="1" a="1"/>
  <c r="H1904" i="1" s="1"/>
  <c r="G1901" i="1" a="1"/>
  <c r="G1901" i="1" s="1"/>
  <c r="K1904" i="1" a="1"/>
  <c r="K1904" i="1" s="1"/>
  <c r="G1904" i="1" a="1"/>
  <c r="G1904" i="1" s="1"/>
  <c r="F1903" i="1" a="1"/>
  <c r="F1903" i="1" s="1"/>
  <c r="J1899" i="1" a="1"/>
  <c r="J1899" i="1" s="1"/>
  <c r="F1901" i="1" a="1"/>
  <c r="F1901" i="1" s="1"/>
  <c r="H1909" i="1" a="1"/>
  <c r="H1909" i="1" s="1"/>
  <c r="J1908" i="1" a="1"/>
  <c r="J1908" i="1" s="1"/>
  <c r="G1906" i="1" a="1"/>
  <c r="G1906" i="1" s="1"/>
  <c r="F1905" i="1" a="1"/>
  <c r="F1905" i="1" s="1"/>
  <c r="J1900" i="1" a="1"/>
  <c r="J1900" i="1" s="1"/>
  <c r="I1906" i="1" a="1"/>
  <c r="I1906" i="1" s="1"/>
  <c r="H1903" i="1" a="1"/>
  <c r="H1903" i="1" s="1"/>
  <c r="K1899" i="1" a="1"/>
  <c r="K1899" i="1" s="1"/>
  <c r="G1903" i="1" a="1"/>
  <c r="G1903" i="1" s="1"/>
  <c r="G1902" i="1" a="1"/>
  <c r="G1902" i="1" s="1"/>
  <c r="J1907" i="1" a="1"/>
  <c r="J1907" i="1" s="1"/>
  <c r="F1904" i="1" a="1"/>
  <c r="F1904" i="1" s="1"/>
  <c r="K1902" i="1" a="1"/>
  <c r="K1902" i="1" s="1"/>
  <c r="G1907" i="1" a="1"/>
  <c r="G1907" i="1" s="1"/>
  <c r="F1902" i="1" a="1"/>
  <c r="F1902" i="1" s="1"/>
  <c r="I1907" i="1" a="1"/>
  <c r="I1907" i="1" s="1"/>
  <c r="H1906" i="1" a="1"/>
  <c r="H1906" i="1" s="1"/>
  <c r="I1904" i="1" a="1"/>
  <c r="I1904" i="1" s="1"/>
  <c r="I1901" i="1" a="1"/>
  <c r="I1901" i="1" s="1"/>
  <c r="I1905" i="1" a="1"/>
  <c r="I1905" i="1" s="1"/>
  <c r="G1905" i="1" a="1"/>
  <c r="G1905" i="1" s="1"/>
  <c r="H1901" i="1" a="1"/>
  <c r="H1901" i="1" s="1"/>
  <c r="G1900" i="1" a="1"/>
  <c r="G1900" i="1" s="1"/>
  <c r="F1910" i="1" a="1"/>
  <c r="F1910" i="1" s="1"/>
  <c r="K1909" i="1" a="1"/>
  <c r="K1909" i="1" s="1"/>
  <c r="K1906" i="1" a="1"/>
  <c r="K1906" i="1" s="1"/>
  <c r="H1900" i="1" a="1"/>
  <c r="H1900" i="1" s="1"/>
  <c r="K1905" i="1" a="1"/>
  <c r="K1905" i="1" s="1"/>
  <c r="I1899" i="1" a="1"/>
  <c r="I1899" i="1" s="1"/>
  <c r="H1899" i="1" a="1"/>
  <c r="H1899" i="1" s="1"/>
  <c r="G1899" i="1" a="1"/>
  <c r="G1899" i="1" s="1"/>
  <c r="F1899" i="1" a="1"/>
  <c r="F1899" i="1" s="1"/>
  <c r="K1670" i="1" a="1"/>
  <c r="K1670" i="1" s="1"/>
  <c r="F1671" i="1" a="1"/>
  <c r="F1671" i="1" s="1"/>
  <c r="K1671" i="1" a="1"/>
  <c r="K1671" i="1" s="1"/>
  <c r="H1671" i="1" a="1"/>
  <c r="H1671" i="1" s="1"/>
  <c r="J1671" i="1" a="1"/>
  <c r="J1671" i="1" s="1"/>
  <c r="I1670" i="1" a="1"/>
  <c r="I1670" i="1" s="1"/>
  <c r="J1670" i="1" a="1"/>
  <c r="J1670" i="1" s="1"/>
  <c r="H1670" i="1" a="1"/>
  <c r="H1670" i="1" s="1"/>
  <c r="G1670" i="1" a="1"/>
  <c r="G1670" i="1" s="1"/>
  <c r="I1671" i="1" a="1"/>
  <c r="I1671" i="1" s="1"/>
  <c r="F1670" i="1" a="1"/>
  <c r="F1670" i="1" s="1"/>
  <c r="G1671" i="1" a="1"/>
  <c r="G1671" i="1" s="1"/>
  <c r="J1666" i="1" a="1"/>
  <c r="J1666" i="1" s="1"/>
  <c r="F1660" i="1" a="1"/>
  <c r="F1660" i="1" s="1"/>
  <c r="F1663" i="1" a="1"/>
  <c r="F1663" i="1" s="1"/>
  <c r="F1669" i="1" a="1"/>
  <c r="F1669" i="1" s="1"/>
  <c r="I1663" i="1" a="1"/>
  <c r="I1663" i="1" s="1"/>
  <c r="J1662" i="1" a="1"/>
  <c r="J1662" i="1" s="1"/>
  <c r="I1662" i="1" a="1"/>
  <c r="I1662" i="1" s="1"/>
  <c r="K1659" i="1" a="1"/>
  <c r="K1659" i="1" s="1"/>
  <c r="G1660" i="1" a="1"/>
  <c r="G1660" i="1" s="1"/>
  <c r="I1666" i="1" a="1"/>
  <c r="I1666" i="1" s="1"/>
  <c r="H1666" i="1" a="1"/>
  <c r="H1666" i="1" s="1"/>
  <c r="H1664" i="1" a="1"/>
  <c r="H1664" i="1" s="1"/>
  <c r="G1666" i="1" a="1"/>
  <c r="G1666" i="1" s="1"/>
  <c r="J1663" i="1" a="1"/>
  <c r="J1663" i="1" s="1"/>
  <c r="F1662" i="1" a="1"/>
  <c r="F1662" i="1" s="1"/>
  <c r="J1659" i="1" a="1"/>
  <c r="J1659" i="1" s="1"/>
  <c r="F1659" i="1" a="1"/>
  <c r="F1659" i="1" s="1"/>
  <c r="J1669" i="1" a="1"/>
  <c r="J1669" i="1" s="1"/>
  <c r="F1665" i="1" a="1"/>
  <c r="F1665" i="1" s="1"/>
  <c r="G1665" i="1" a="1"/>
  <c r="G1665" i="1" s="1"/>
  <c r="I1669" i="1" a="1"/>
  <c r="I1669" i="1" s="1"/>
  <c r="H1669" i="1" a="1"/>
  <c r="H1669" i="1" s="1"/>
  <c r="K1668" i="1" a="1"/>
  <c r="K1668" i="1" s="1"/>
  <c r="H1668" i="1" a="1"/>
  <c r="H1668" i="1" s="1"/>
  <c r="J1668" i="1" a="1"/>
  <c r="J1668" i="1" s="1"/>
  <c r="F1668" i="1" a="1"/>
  <c r="F1668" i="1" s="1"/>
  <c r="J1667" i="1" a="1"/>
  <c r="J1667" i="1" s="1"/>
  <c r="J1660" i="1" a="1"/>
  <c r="J1660" i="1" s="1"/>
  <c r="H1663" i="1" a="1"/>
  <c r="H1663" i="1" s="1"/>
  <c r="K1662" i="1" a="1"/>
  <c r="K1662" i="1" s="1"/>
  <c r="H1662" i="1" a="1"/>
  <c r="H1662" i="1" s="1"/>
  <c r="I1660" i="1" a="1"/>
  <c r="I1660" i="1" s="1"/>
  <c r="G1659" i="1" a="1"/>
  <c r="G1659" i="1" s="1"/>
  <c r="I1667" i="1" a="1"/>
  <c r="I1667" i="1" s="1"/>
  <c r="K1666" i="1" a="1"/>
  <c r="K1666" i="1" s="1"/>
  <c r="J1664" i="1" a="1"/>
  <c r="J1664" i="1" s="1"/>
  <c r="F1666" i="1" a="1"/>
  <c r="F1666" i="1" s="1"/>
  <c r="J1665" i="1" a="1"/>
  <c r="J1665" i="1" s="1"/>
  <c r="I1665" i="1" a="1"/>
  <c r="I1665" i="1" s="1"/>
  <c r="G1664" i="1" a="1"/>
  <c r="G1664" i="1" s="1"/>
  <c r="K1663" i="1" a="1"/>
  <c r="K1663" i="1" s="1"/>
  <c r="G1662" i="1" a="1"/>
  <c r="G1662" i="1" s="1"/>
  <c r="H1667" i="1" a="1"/>
  <c r="H1667" i="1" s="1"/>
  <c r="F1667" i="1" a="1"/>
  <c r="F1667" i="1" s="1"/>
  <c r="H1660" i="1" a="1"/>
  <c r="H1660" i="1" s="1"/>
  <c r="K1660" i="1" a="1"/>
  <c r="K1660" i="1" s="1"/>
  <c r="H1659" i="1" a="1"/>
  <c r="H1659" i="1" s="1"/>
  <c r="K1664" i="1" a="1"/>
  <c r="K1664" i="1" s="1"/>
  <c r="G1663" i="1" a="1"/>
  <c r="G1663" i="1" s="1"/>
  <c r="F1664" i="1" a="1"/>
  <c r="F1664" i="1" s="1"/>
  <c r="H1665" i="1" a="1"/>
  <c r="H1665" i="1" s="1"/>
  <c r="K1669" i="1" a="1"/>
  <c r="K1669" i="1" s="1"/>
  <c r="K1667" i="1" a="1"/>
  <c r="K1667" i="1" s="1"/>
  <c r="G1667" i="1" a="1"/>
  <c r="G1667" i="1" s="1"/>
  <c r="K1665" i="1" a="1"/>
  <c r="K1665" i="1" s="1"/>
  <c r="I1659" i="1" a="1"/>
  <c r="I1659" i="1" s="1"/>
  <c r="G1669" i="1" a="1"/>
  <c r="G1669" i="1" s="1"/>
  <c r="I1668" i="1" a="1"/>
  <c r="I1668" i="1" s="1"/>
  <c r="I1664" i="1" a="1"/>
  <c r="I1664" i="1" s="1"/>
  <c r="K1658" i="1" a="1"/>
  <c r="K1658" i="1" s="1"/>
  <c r="J1658" i="1" a="1"/>
  <c r="J1658" i="1" s="1"/>
  <c r="G1668" i="1" a="1"/>
  <c r="G1668" i="1" s="1"/>
  <c r="G1641" i="1" a="1"/>
  <c r="G1641" i="1" s="1"/>
  <c r="G1642" i="1" a="1"/>
  <c r="G1642" i="1" s="1"/>
  <c r="I1640" i="1" a="1"/>
  <c r="I1640" i="1" s="1"/>
  <c r="H1641" i="1" a="1"/>
  <c r="H1641" i="1" s="1"/>
  <c r="J1652" i="1" a="1"/>
  <c r="J1652" i="1" s="1"/>
  <c r="F1644" i="1" a="1"/>
  <c r="F1644" i="1" s="1"/>
  <c r="K1646" i="1" a="1"/>
  <c r="K1646" i="1" s="1"/>
  <c r="K1640" i="1" a="1"/>
  <c r="K1640" i="1" s="1"/>
  <c r="K1652" i="1" a="1"/>
  <c r="K1652" i="1" s="1"/>
  <c r="F1645" i="1" a="1"/>
  <c r="F1645" i="1" s="1"/>
  <c r="I1642" i="1" a="1"/>
  <c r="I1642" i="1" s="1"/>
  <c r="K1644" i="1" a="1"/>
  <c r="K1644" i="1" s="1"/>
  <c r="G1646" i="1" a="1"/>
  <c r="G1646" i="1" s="1"/>
  <c r="F1642" i="1" a="1"/>
  <c r="F1642" i="1" s="1"/>
  <c r="J1641" i="1" a="1"/>
  <c r="J1641" i="1" s="1"/>
  <c r="K1645" i="1" a="1"/>
  <c r="K1645" i="1" s="1"/>
  <c r="J1640" i="1" a="1"/>
  <c r="J1640" i="1" s="1"/>
  <c r="H1652" i="1" a="1"/>
  <c r="H1652" i="1" s="1"/>
  <c r="I1658" i="1" a="1"/>
  <c r="I1658" i="1" s="1"/>
  <c r="G1644" i="1" a="1"/>
  <c r="G1644" i="1" s="1"/>
  <c r="G1652" i="1" a="1"/>
  <c r="G1652" i="1" s="1"/>
  <c r="F1652" i="1" a="1"/>
  <c r="F1652" i="1" s="1"/>
  <c r="H1645" i="1" a="1"/>
  <c r="H1645" i="1" s="1"/>
  <c r="I1641" i="1" a="1"/>
  <c r="I1641" i="1" s="1"/>
  <c r="H1658" i="1" a="1"/>
  <c r="H1658" i="1" s="1"/>
  <c r="G1658" i="1" a="1"/>
  <c r="G1658" i="1" s="1"/>
  <c r="J1642" i="1" a="1"/>
  <c r="J1642" i="1" s="1"/>
  <c r="F1658" i="1" a="1"/>
  <c r="F1658" i="1" s="1"/>
  <c r="H1646" i="1" a="1"/>
  <c r="H1646" i="1" s="1"/>
  <c r="I1646" i="1" a="1"/>
  <c r="I1646" i="1" s="1"/>
  <c r="G1645" i="1" a="1"/>
  <c r="G1645" i="1" s="1"/>
  <c r="F1641" i="1" a="1"/>
  <c r="F1641" i="1" s="1"/>
  <c r="J1645" i="1" a="1"/>
  <c r="J1645" i="1" s="1"/>
  <c r="I1652" i="1" a="1"/>
  <c r="I1652" i="1" s="1"/>
  <c r="J1646" i="1" a="1"/>
  <c r="J1646" i="1" s="1"/>
  <c r="H1642" i="1" a="1"/>
  <c r="H1642" i="1" s="1"/>
  <c r="I1645" i="1" a="1"/>
  <c r="I1645" i="1" s="1"/>
  <c r="J1644" i="1" a="1"/>
  <c r="J1644" i="1" s="1"/>
  <c r="I1644" i="1" a="1"/>
  <c r="I1644" i="1" s="1"/>
  <c r="F1646" i="1" a="1"/>
  <c r="F1646" i="1" s="1"/>
  <c r="H1644" i="1" a="1"/>
  <c r="H1644" i="1" s="1"/>
  <c r="K1641" i="1" a="1"/>
  <c r="K1641" i="1" s="1"/>
  <c r="K1642" i="1" a="1"/>
  <c r="K1642" i="1" s="1"/>
  <c r="I1620" i="1" a="1"/>
  <c r="I1620" i="1" s="1"/>
  <c r="J1626" i="1" a="1"/>
  <c r="J1626" i="1" s="1"/>
  <c r="G1624" i="1" a="1"/>
  <c r="G1624" i="1" s="1"/>
  <c r="H1622" i="1" a="1"/>
  <c r="H1622" i="1" s="1"/>
  <c r="F1621" i="1" a="1"/>
  <c r="F1621" i="1" s="1"/>
  <c r="F1626" i="1" a="1"/>
  <c r="F1626" i="1" s="1"/>
  <c r="I1626" i="1" a="1"/>
  <c r="I1626" i="1" s="1"/>
  <c r="J1625" i="1" a="1"/>
  <c r="J1625" i="1" s="1"/>
  <c r="G1622" i="1" a="1"/>
  <c r="G1622" i="1" s="1"/>
  <c r="G1627" i="1" a="1"/>
  <c r="G1627" i="1" s="1"/>
  <c r="H1620" i="1" a="1"/>
  <c r="H1620" i="1" s="1"/>
  <c r="G1625" i="1" a="1"/>
  <c r="G1625" i="1" s="1"/>
  <c r="K1627" i="1" a="1"/>
  <c r="K1627" i="1" s="1"/>
  <c r="K1620" i="1" a="1"/>
  <c r="K1620" i="1" s="1"/>
  <c r="K1621" i="1" a="1"/>
  <c r="K1621" i="1" s="1"/>
  <c r="G1621" i="1" a="1"/>
  <c r="G1621" i="1" s="1"/>
  <c r="H1621" i="1" a="1"/>
  <c r="H1621" i="1" s="1"/>
  <c r="J1622" i="1" a="1"/>
  <c r="J1622" i="1" s="1"/>
  <c r="J1623" i="1" a="1"/>
  <c r="J1623" i="1" s="1"/>
  <c r="F1624" i="1" a="1"/>
  <c r="F1624" i="1" s="1"/>
  <c r="I1622" i="1" a="1"/>
  <c r="I1622" i="1" s="1"/>
  <c r="K1622" i="1" a="1"/>
  <c r="K1622" i="1" s="1"/>
  <c r="H1625" i="1" a="1"/>
  <c r="H1625" i="1" s="1"/>
  <c r="K1623" i="1" a="1"/>
  <c r="K1623" i="1" s="1"/>
  <c r="J1621" i="1" a="1"/>
  <c r="J1621" i="1" s="1"/>
  <c r="I1621" i="1" a="1"/>
  <c r="I1621" i="1" s="1"/>
  <c r="J1627" i="1" a="1"/>
  <c r="J1627" i="1" s="1"/>
  <c r="F1627" i="1" a="1"/>
  <c r="F1627" i="1" s="1"/>
  <c r="F1622" i="1" a="1"/>
  <c r="F1622" i="1" s="1"/>
  <c r="F1625" i="1" a="1"/>
  <c r="F1625" i="1" s="1"/>
  <c r="F1623" i="1" a="1"/>
  <c r="F1623" i="1" s="1"/>
  <c r="K1624" i="1" a="1"/>
  <c r="K1624" i="1" s="1"/>
  <c r="H1623" i="1" a="1"/>
  <c r="H1623" i="1" s="1"/>
  <c r="I1624" i="1" a="1"/>
  <c r="I1624" i="1" s="1"/>
  <c r="I1623" i="1" a="1"/>
  <c r="I1623" i="1" s="1"/>
  <c r="H1624" i="1" a="1"/>
  <c r="H1624" i="1" s="1"/>
  <c r="G1623" i="1" a="1"/>
  <c r="G1623" i="1" s="1"/>
  <c r="H1626" i="1" a="1"/>
  <c r="H1626" i="1" s="1"/>
  <c r="H1640" i="1" a="1"/>
  <c r="H1640" i="1" s="1"/>
  <c r="I1625" i="1" a="1"/>
  <c r="I1625" i="1" s="1"/>
  <c r="G1626" i="1" a="1"/>
  <c r="G1626" i="1" s="1"/>
  <c r="G1640" i="1" a="1"/>
  <c r="G1640" i="1" s="1"/>
  <c r="F1640" i="1" a="1"/>
  <c r="F1640" i="1" s="1"/>
  <c r="I1627" i="1" a="1"/>
  <c r="I1627" i="1" s="1"/>
  <c r="K1626" i="1" a="1"/>
  <c r="K1626" i="1" s="1"/>
  <c r="H1627" i="1" a="1"/>
  <c r="H1627" i="1" s="1"/>
  <c r="K1625" i="1" a="1"/>
  <c r="K1625" i="1" s="1"/>
  <c r="J1624" i="1" a="1"/>
  <c r="J1624" i="1" s="1"/>
  <c r="J1620" i="1" a="1"/>
  <c r="J1620" i="1" s="1"/>
  <c r="I1609" i="1" a="1"/>
  <c r="I1609" i="1" s="1"/>
  <c r="K1603" i="1" a="1"/>
  <c r="K1603" i="1" s="1"/>
  <c r="H1603" i="1" a="1"/>
  <c r="H1603" i="1" s="1"/>
  <c r="J1609" i="1" a="1"/>
  <c r="J1609" i="1" s="1"/>
  <c r="K1610" i="1" a="1"/>
  <c r="K1610" i="1" s="1"/>
  <c r="G1620" i="1" a="1"/>
  <c r="G1620" i="1" s="1"/>
  <c r="F1620" i="1" a="1"/>
  <c r="F1620" i="1" s="1"/>
  <c r="F1603" i="1" a="1"/>
  <c r="F1603" i="1" s="1"/>
  <c r="I1619" i="1" a="1"/>
  <c r="I1619" i="1" s="1"/>
  <c r="H1619" i="1" a="1"/>
  <c r="H1619" i="1" s="1"/>
  <c r="H1617" i="1" a="1"/>
  <c r="H1617" i="1" s="1"/>
  <c r="G1610" i="1" a="1"/>
  <c r="G1610" i="1" s="1"/>
  <c r="G1603" i="1" a="1"/>
  <c r="G1603" i="1" s="1"/>
  <c r="G1611" i="1" a="1"/>
  <c r="G1611" i="1" s="1"/>
  <c r="K1611" i="1" a="1"/>
  <c r="K1611" i="1" s="1"/>
  <c r="H1611" i="1" a="1"/>
  <c r="H1611" i="1" s="1"/>
  <c r="J1602" i="1" a="1"/>
  <c r="J1602" i="1" s="1"/>
  <c r="J1611" i="1" a="1"/>
  <c r="J1611" i="1" s="1"/>
  <c r="K1619" i="1" a="1"/>
  <c r="K1619" i="1" s="1"/>
  <c r="J1619" i="1" a="1"/>
  <c r="J1619" i="1" s="1"/>
  <c r="G1619" i="1" a="1"/>
  <c r="G1619" i="1" s="1"/>
  <c r="K1617" i="1" a="1"/>
  <c r="K1617" i="1" s="1"/>
  <c r="F1619" i="1" a="1"/>
  <c r="F1619" i="1" s="1"/>
  <c r="J1617" i="1" a="1"/>
  <c r="J1617" i="1" s="1"/>
  <c r="I1617" i="1" a="1"/>
  <c r="I1617" i="1" s="1"/>
  <c r="H1610" i="1" a="1"/>
  <c r="H1610" i="1" s="1"/>
  <c r="I1603" i="1" a="1"/>
  <c r="I1603" i="1" s="1"/>
  <c r="G1617" i="1" a="1"/>
  <c r="G1617" i="1" s="1"/>
  <c r="K1602" i="1" a="1"/>
  <c r="K1602" i="1" s="1"/>
  <c r="F1611" i="1" a="1"/>
  <c r="F1611" i="1" s="1"/>
  <c r="H1609" i="1" a="1"/>
  <c r="H1609" i="1" s="1"/>
  <c r="I1610" i="1" a="1"/>
  <c r="I1610" i="1" s="1"/>
  <c r="K1609" i="1" a="1"/>
  <c r="K1609" i="1" s="1"/>
  <c r="J1610" i="1" a="1"/>
  <c r="J1610" i="1" s="1"/>
  <c r="G1609" i="1" a="1"/>
  <c r="G1609" i="1" s="1"/>
  <c r="I1602" i="1" a="1"/>
  <c r="I1602" i="1" s="1"/>
  <c r="F1610" i="1" a="1"/>
  <c r="F1610" i="1" s="1"/>
  <c r="I1611" i="1" a="1"/>
  <c r="I1611" i="1" s="1"/>
  <c r="F1617" i="1" a="1"/>
  <c r="F1617" i="1" s="1"/>
  <c r="J1603" i="1" a="1"/>
  <c r="J1603" i="1" s="1"/>
  <c r="F1609" i="1" a="1"/>
  <c r="F1609" i="1" s="1"/>
  <c r="G1593" i="1" a="1"/>
  <c r="G1593" i="1" s="1"/>
  <c r="K1580" i="1" a="1"/>
  <c r="K1580" i="1" s="1"/>
  <c r="K1596" i="1" a="1"/>
  <c r="K1596" i="1" s="1"/>
  <c r="F1596" i="1" a="1"/>
  <c r="F1596" i="1" s="1"/>
  <c r="J1596" i="1" a="1"/>
  <c r="J1596" i="1" s="1"/>
  <c r="G1594" i="1" a="1"/>
  <c r="G1594" i="1" s="1"/>
  <c r="H1594" i="1" a="1"/>
  <c r="H1594" i="1" s="1"/>
  <c r="I1594" i="1" a="1"/>
  <c r="I1594" i="1" s="1"/>
  <c r="H1602" i="1" a="1"/>
  <c r="H1602" i="1" s="1"/>
  <c r="G1602" i="1" a="1"/>
  <c r="G1602" i="1" s="1"/>
  <c r="F1602" i="1" a="1"/>
  <c r="F1602" i="1" s="1"/>
  <c r="K1594" i="1" a="1"/>
  <c r="K1594" i="1" s="1"/>
  <c r="G1596" i="1" a="1"/>
  <c r="G1596" i="1" s="1"/>
  <c r="I1593" i="1" a="1"/>
  <c r="I1593" i="1" s="1"/>
  <c r="H1596" i="1" a="1"/>
  <c r="H1596" i="1" s="1"/>
  <c r="F1594" i="1" a="1"/>
  <c r="F1594" i="1" s="1"/>
  <c r="I1596" i="1" a="1"/>
  <c r="I1596" i="1" s="1"/>
  <c r="J1594" i="1" a="1"/>
  <c r="J1594" i="1" s="1"/>
  <c r="K1593" i="1" a="1"/>
  <c r="K1593" i="1" s="1"/>
  <c r="J1593" i="1" a="1"/>
  <c r="J1593" i="1" s="1"/>
  <c r="F1593" i="1" a="1"/>
  <c r="F1593" i="1" s="1"/>
  <c r="H1593" i="1" a="1"/>
  <c r="H1593" i="1" s="1"/>
  <c r="I1577" i="1" a="1"/>
  <c r="I1577" i="1" s="1"/>
  <c r="G1572" i="1" a="1"/>
  <c r="G1572" i="1" s="1"/>
  <c r="J1572" i="1" a="1"/>
  <c r="J1572" i="1" s="1"/>
  <c r="F1572" i="1" a="1"/>
  <c r="F1572" i="1" s="1"/>
  <c r="J1579" i="1" a="1"/>
  <c r="J1579" i="1" s="1"/>
  <c r="I1574" i="1" a="1"/>
  <c r="I1574" i="1" s="1"/>
  <c r="H1570" i="1" a="1"/>
  <c r="H1570" i="1" s="1"/>
  <c r="J1574" i="1" a="1"/>
  <c r="J1574" i="1" s="1"/>
  <c r="I1576" i="1" a="1"/>
  <c r="I1576" i="1" s="1"/>
  <c r="H1579" i="1" a="1"/>
  <c r="H1579" i="1" s="1"/>
  <c r="J1575" i="1" a="1"/>
  <c r="J1575" i="1" s="1"/>
  <c r="I1572" i="1" a="1"/>
  <c r="I1572" i="1" s="1"/>
  <c r="G1570" i="1" a="1"/>
  <c r="G1570" i="1" s="1"/>
  <c r="I1579" i="1" a="1"/>
  <c r="I1579" i="1" s="1"/>
  <c r="G1575" i="1" a="1"/>
  <c r="G1575" i="1" s="1"/>
  <c r="J1578" i="1" a="1"/>
  <c r="J1578" i="1" s="1"/>
  <c r="F1574" i="1" a="1"/>
  <c r="F1574" i="1" s="1"/>
  <c r="I1573" i="1" a="1"/>
  <c r="I1573" i="1" s="1"/>
  <c r="J1573" i="1" a="1"/>
  <c r="J1573" i="1" s="1"/>
  <c r="K1575" i="1" a="1"/>
  <c r="K1575" i="1" s="1"/>
  <c r="K1576" i="1" a="1"/>
  <c r="K1576" i="1" s="1"/>
  <c r="G1574" i="1" a="1"/>
  <c r="G1574" i="1" s="1"/>
  <c r="I1580" i="1" a="1"/>
  <c r="I1580" i="1" s="1"/>
  <c r="F1578" i="1" a="1"/>
  <c r="F1578" i="1" s="1"/>
  <c r="F1575" i="1" a="1"/>
  <c r="F1575" i="1" s="1"/>
  <c r="F1579" i="1" a="1"/>
  <c r="F1579" i="1" s="1"/>
  <c r="H1578" i="1" a="1"/>
  <c r="H1578" i="1" s="1"/>
  <c r="G1580" i="1" a="1"/>
  <c r="G1580" i="1" s="1"/>
  <c r="H1575" i="1" a="1"/>
  <c r="H1575" i="1" s="1"/>
  <c r="F1580" i="1" a="1"/>
  <c r="F1580" i="1" s="1"/>
  <c r="K1572" i="1" a="1"/>
  <c r="K1572" i="1" s="1"/>
  <c r="K1579" i="1" a="1"/>
  <c r="K1579" i="1" s="1"/>
  <c r="K1577" i="1" a="1"/>
  <c r="K1577" i="1" s="1"/>
  <c r="K1578" i="1" a="1"/>
  <c r="K1578" i="1" s="1"/>
  <c r="I1578" i="1" a="1"/>
  <c r="I1578" i="1" s="1"/>
  <c r="G1578" i="1" a="1"/>
  <c r="G1578" i="1" s="1"/>
  <c r="J1577" i="1" a="1"/>
  <c r="J1577" i="1" s="1"/>
  <c r="I1575" i="1" a="1"/>
  <c r="I1575" i="1" s="1"/>
  <c r="H1577" i="1" a="1"/>
  <c r="H1577" i="1" s="1"/>
  <c r="G1577" i="1" a="1"/>
  <c r="G1577" i="1" s="1"/>
  <c r="F1577" i="1" a="1"/>
  <c r="F1577" i="1" s="1"/>
  <c r="I1570" i="1" a="1"/>
  <c r="I1570" i="1" s="1"/>
  <c r="H1576" i="1" a="1"/>
  <c r="H1576" i="1" s="1"/>
  <c r="F1573" i="1" a="1"/>
  <c r="F1573" i="1" s="1"/>
  <c r="K1573" i="1" a="1"/>
  <c r="K1573" i="1" s="1"/>
  <c r="H1573" i="1" a="1"/>
  <c r="H1573" i="1" s="1"/>
  <c r="G1573" i="1" a="1"/>
  <c r="G1573" i="1" s="1"/>
  <c r="J1570" i="1" a="1"/>
  <c r="J1570" i="1" s="1"/>
  <c r="F1570" i="1" a="1"/>
  <c r="F1570" i="1" s="1"/>
  <c r="G1576" i="1" a="1"/>
  <c r="G1576" i="1" s="1"/>
  <c r="H1574" i="1" a="1"/>
  <c r="H1574" i="1" s="1"/>
  <c r="F1576" i="1" a="1"/>
  <c r="F1576" i="1" s="1"/>
  <c r="J1576" i="1" a="1"/>
  <c r="J1576" i="1" s="1"/>
  <c r="H1572" i="1" a="1"/>
  <c r="H1572" i="1" s="1"/>
  <c r="K1570" i="1" a="1"/>
  <c r="K1570" i="1" s="1"/>
  <c r="K1574" i="1" a="1"/>
  <c r="K1574" i="1" s="1"/>
  <c r="J1580" i="1" a="1"/>
  <c r="J1580" i="1" s="1"/>
  <c r="H1580" i="1" a="1"/>
  <c r="H1580" i="1" s="1"/>
  <c r="G1579" i="1" a="1"/>
  <c r="G1579" i="1" s="1"/>
  <c r="I1562" i="1" a="1"/>
  <c r="I1562" i="1" s="1"/>
  <c r="G1556" i="1" a="1"/>
  <c r="G1556" i="1" s="1"/>
  <c r="F1555" i="1" a="1"/>
  <c r="F1555" i="1" s="1"/>
  <c r="H1555" i="1" a="1"/>
  <c r="H1555" i="1" s="1"/>
  <c r="G1562" i="1" a="1"/>
  <c r="G1562" i="1" s="1"/>
  <c r="J1556" i="1" a="1"/>
  <c r="J1556" i="1" s="1"/>
  <c r="H1549" i="1" a="1"/>
  <c r="H1549" i="1" s="1"/>
  <c r="F1549" i="1" a="1"/>
  <c r="F1549" i="1" s="1"/>
  <c r="G1555" i="1" a="1"/>
  <c r="G1555" i="1" s="1"/>
  <c r="K1563" i="1" a="1"/>
  <c r="K1563" i="1" s="1"/>
  <c r="F1563" i="1" a="1"/>
  <c r="F1563" i="1" s="1"/>
  <c r="F1556" i="1" a="1"/>
  <c r="F1556" i="1" s="1"/>
  <c r="I1555" i="1" a="1"/>
  <c r="I1555" i="1" s="1"/>
  <c r="K1547" i="1" a="1"/>
  <c r="K1547" i="1" s="1"/>
  <c r="K1564" i="1" a="1"/>
  <c r="K1564" i="1" s="1"/>
  <c r="H1564" i="1" a="1"/>
  <c r="H1564" i="1" s="1"/>
  <c r="J1564" i="1" a="1"/>
  <c r="J1564" i="1" s="1"/>
  <c r="I1564" i="1" a="1"/>
  <c r="I1564" i="1" s="1"/>
  <c r="K1549" i="1" a="1"/>
  <c r="K1549" i="1" s="1"/>
  <c r="G1564" i="1" a="1"/>
  <c r="G1564" i="1" s="1"/>
  <c r="H1556" i="1" a="1"/>
  <c r="H1556" i="1" s="1"/>
  <c r="F1564" i="1" a="1"/>
  <c r="F1564" i="1" s="1"/>
  <c r="J1563" i="1" a="1"/>
  <c r="J1563" i="1" s="1"/>
  <c r="I1563" i="1" a="1"/>
  <c r="I1563" i="1" s="1"/>
  <c r="K1562" i="1" a="1"/>
  <c r="K1562" i="1" s="1"/>
  <c r="I1556" i="1" a="1"/>
  <c r="I1556" i="1" s="1"/>
  <c r="H1563" i="1" a="1"/>
  <c r="H1563" i="1" s="1"/>
  <c r="H1562" i="1" a="1"/>
  <c r="H1562" i="1" s="1"/>
  <c r="J1547" i="1" a="1"/>
  <c r="J1547" i="1" s="1"/>
  <c r="G1563" i="1" a="1"/>
  <c r="G1563" i="1" s="1"/>
  <c r="J1562" i="1" a="1"/>
  <c r="J1562" i="1" s="1"/>
  <c r="K1556" i="1" a="1"/>
  <c r="K1556" i="1" s="1"/>
  <c r="F1562" i="1" a="1"/>
  <c r="F1562" i="1" s="1"/>
  <c r="I1547" i="1" a="1"/>
  <c r="I1547" i="1" s="1"/>
  <c r="G1549" i="1" a="1"/>
  <c r="G1549" i="1" s="1"/>
  <c r="H1547" i="1" a="1"/>
  <c r="H1547" i="1" s="1"/>
  <c r="J1555" i="1" a="1"/>
  <c r="J1555" i="1" s="1"/>
  <c r="K1555" i="1" a="1"/>
  <c r="K1555" i="1" s="1"/>
  <c r="J1549" i="1" a="1"/>
  <c r="J1549" i="1" s="1"/>
  <c r="I1549" i="1" a="1"/>
  <c r="I1549" i="1" s="1"/>
  <c r="K1523" i="1" a="1"/>
  <c r="K1523" i="1" s="1"/>
  <c r="I1524" i="1" a="1"/>
  <c r="I1524" i="1" s="1"/>
  <c r="I1528" i="1" a="1"/>
  <c r="I1528" i="1" s="1"/>
  <c r="J1524" i="1" a="1"/>
  <c r="J1524" i="1" s="1"/>
  <c r="I1525" i="1" a="1"/>
  <c r="I1525" i="1" s="1"/>
  <c r="H1522" i="1" a="1"/>
  <c r="H1522" i="1" s="1"/>
  <c r="K1546" i="1" a="1"/>
  <c r="K1546" i="1" s="1"/>
  <c r="J1546" i="1" a="1"/>
  <c r="J1546" i="1" s="1"/>
  <c r="G1525" i="1" a="1"/>
  <c r="G1525" i="1" s="1"/>
  <c r="I1546" i="1" a="1"/>
  <c r="I1546" i="1" s="1"/>
  <c r="F1525" i="1" a="1"/>
  <c r="F1525" i="1" s="1"/>
  <c r="H1546" i="1" a="1"/>
  <c r="H1546" i="1" s="1"/>
  <c r="K1527" i="1" a="1"/>
  <c r="K1527" i="1" s="1"/>
  <c r="K1528" i="1" a="1"/>
  <c r="K1528" i="1" s="1"/>
  <c r="F1523" i="1" a="1"/>
  <c r="F1523" i="1" s="1"/>
  <c r="H1524" i="1" a="1"/>
  <c r="H1524" i="1" s="1"/>
  <c r="F1529" i="1" a="1"/>
  <c r="F1529" i="1" s="1"/>
  <c r="K1529" i="1" a="1"/>
  <c r="K1529" i="1" s="1"/>
  <c r="G1529" i="1" a="1"/>
  <c r="G1529" i="1" s="1"/>
  <c r="I1522" i="1" a="1"/>
  <c r="I1522" i="1" s="1"/>
  <c r="G1527" i="1" a="1"/>
  <c r="G1527" i="1" s="1"/>
  <c r="J1526" i="1" a="1"/>
  <c r="J1526" i="1" s="1"/>
  <c r="J1525" i="1" a="1"/>
  <c r="J1525" i="1" s="1"/>
  <c r="G1526" i="1" a="1"/>
  <c r="G1526" i="1" s="1"/>
  <c r="G1524" i="1" a="1"/>
  <c r="G1524" i="1" s="1"/>
  <c r="F1547" i="1" a="1"/>
  <c r="F1547" i="1" s="1"/>
  <c r="G1546" i="1" a="1"/>
  <c r="G1546" i="1" s="1"/>
  <c r="K1522" i="1" a="1"/>
  <c r="K1522" i="1" s="1"/>
  <c r="J1529" i="1" a="1"/>
  <c r="J1529" i="1" s="1"/>
  <c r="G1528" i="1" a="1"/>
  <c r="G1528" i="1" s="1"/>
  <c r="I1527" i="1" a="1"/>
  <c r="I1527" i="1" s="1"/>
  <c r="H1527" i="1" a="1"/>
  <c r="H1527" i="1" s="1"/>
  <c r="F1528" i="1" a="1"/>
  <c r="F1528" i="1" s="1"/>
  <c r="H1526" i="1" a="1"/>
  <c r="H1526" i="1" s="1"/>
  <c r="H1525" i="1" a="1"/>
  <c r="H1525" i="1" s="1"/>
  <c r="F1524" i="1" a="1"/>
  <c r="F1524" i="1" s="1"/>
  <c r="G1523" i="1" a="1"/>
  <c r="G1523" i="1" s="1"/>
  <c r="F1546" i="1" a="1"/>
  <c r="F1546" i="1" s="1"/>
  <c r="K1524" i="1" a="1"/>
  <c r="K1524" i="1" s="1"/>
  <c r="H1523" i="1" a="1"/>
  <c r="H1523" i="1" s="1"/>
  <c r="J1528" i="1" a="1"/>
  <c r="J1528" i="1" s="1"/>
  <c r="I1526" i="1" a="1"/>
  <c r="I1526" i="1" s="1"/>
  <c r="J1522" i="1" a="1"/>
  <c r="J1522" i="1" s="1"/>
  <c r="F1526" i="1" a="1"/>
  <c r="F1526" i="1" s="1"/>
  <c r="I1523" i="1" a="1"/>
  <c r="I1523" i="1" s="1"/>
  <c r="G1547" i="1" a="1"/>
  <c r="G1547" i="1" s="1"/>
  <c r="I1529" i="1" a="1"/>
  <c r="I1529" i="1" s="1"/>
  <c r="H1529" i="1" a="1"/>
  <c r="H1529" i="1" s="1"/>
  <c r="F1527" i="1" a="1"/>
  <c r="F1527" i="1" s="1"/>
  <c r="K1525" i="1" a="1"/>
  <c r="K1525" i="1" s="1"/>
  <c r="H1528" i="1" a="1"/>
  <c r="H1528" i="1" s="1"/>
  <c r="K1526" i="1" a="1"/>
  <c r="K1526" i="1" s="1"/>
  <c r="J1523" i="1" a="1"/>
  <c r="J1523" i="1" s="1"/>
  <c r="J1527" i="1" a="1"/>
  <c r="J1527" i="1" s="1"/>
  <c r="H1519" i="1" a="1"/>
  <c r="H1519" i="1" s="1"/>
  <c r="F1517" i="1" a="1"/>
  <c r="F1517" i="1" s="1"/>
  <c r="J1517" i="1" a="1"/>
  <c r="J1517" i="1" s="1"/>
  <c r="G1515" i="1" a="1"/>
  <c r="G1515" i="1" s="1"/>
  <c r="G1518" i="1" a="1"/>
  <c r="G1518" i="1" s="1"/>
  <c r="I1521" i="1" a="1"/>
  <c r="I1521" i="1" s="1"/>
  <c r="I1511" i="1" a="1"/>
  <c r="I1511" i="1" s="1"/>
  <c r="K1515" i="1" a="1"/>
  <c r="K1515" i="1" s="1"/>
  <c r="F1519" i="1" a="1"/>
  <c r="F1519" i="1" s="1"/>
  <c r="J1511" i="1" a="1"/>
  <c r="J1511" i="1" s="1"/>
  <c r="H1517" i="1" a="1"/>
  <c r="H1517" i="1" s="1"/>
  <c r="K1520" i="1" a="1"/>
  <c r="K1520" i="1" s="1"/>
  <c r="K1514" i="1" a="1"/>
  <c r="K1514" i="1" s="1"/>
  <c r="I1514" i="1" a="1"/>
  <c r="I1514" i="1" s="1"/>
  <c r="G1514" i="1" a="1"/>
  <c r="G1514" i="1" s="1"/>
  <c r="H1512" i="1" a="1"/>
  <c r="H1512" i="1" s="1"/>
  <c r="K1521" i="1" a="1"/>
  <c r="K1521" i="1" s="1"/>
  <c r="H1521" i="1" a="1"/>
  <c r="H1521" i="1" s="1"/>
  <c r="J1519" i="1" a="1"/>
  <c r="J1519" i="1" s="1"/>
  <c r="H1513" i="1" a="1"/>
  <c r="H1513" i="1" s="1"/>
  <c r="K1512" i="1" a="1"/>
  <c r="K1512" i="1" s="1"/>
  <c r="K1519" i="1" a="1"/>
  <c r="K1519" i="1" s="1"/>
  <c r="F1513" i="1" a="1"/>
  <c r="F1513" i="1" s="1"/>
  <c r="K1511" i="1" a="1"/>
  <c r="K1511" i="1" s="1"/>
  <c r="G1520" i="1" a="1"/>
  <c r="G1520" i="1" s="1"/>
  <c r="F1514" i="1" a="1"/>
  <c r="F1514" i="1" s="1"/>
  <c r="I1512" i="1" a="1"/>
  <c r="I1512" i="1" s="1"/>
  <c r="J1513" i="1" a="1"/>
  <c r="J1513" i="1" s="1"/>
  <c r="G1512" i="1" a="1"/>
  <c r="G1512" i="1" s="1"/>
  <c r="F1522" i="1" a="1"/>
  <c r="F1522" i="1" s="1"/>
  <c r="I1518" i="1" a="1"/>
  <c r="I1518" i="1" s="1"/>
  <c r="G1521" i="1" a="1"/>
  <c r="G1521" i="1" s="1"/>
  <c r="J1520" i="1" a="1"/>
  <c r="J1520" i="1" s="1"/>
  <c r="G1519" i="1" a="1"/>
  <c r="G1519" i="1" s="1"/>
  <c r="J1514" i="1" a="1"/>
  <c r="J1514" i="1" s="1"/>
  <c r="F1518" i="1" a="1"/>
  <c r="F1518" i="1" s="1"/>
  <c r="H1514" i="1" a="1"/>
  <c r="H1514" i="1" s="1"/>
  <c r="K1518" i="1" a="1"/>
  <c r="K1518" i="1" s="1"/>
  <c r="G1517" i="1" a="1"/>
  <c r="G1517" i="1" s="1"/>
  <c r="J1518" i="1" a="1"/>
  <c r="J1518" i="1" s="1"/>
  <c r="F1512" i="1" a="1"/>
  <c r="F1512" i="1" s="1"/>
  <c r="H1515" i="1" a="1"/>
  <c r="H1515" i="1" s="1"/>
  <c r="G1513" i="1" a="1"/>
  <c r="G1513" i="1" s="1"/>
  <c r="I1515" i="1" a="1"/>
  <c r="I1515" i="1" s="1"/>
  <c r="H1518" i="1" a="1"/>
  <c r="H1518" i="1" s="1"/>
  <c r="J1515" i="1" a="1"/>
  <c r="J1515" i="1" s="1"/>
  <c r="K1517" i="1" a="1"/>
  <c r="K1517" i="1" s="1"/>
  <c r="J1512" i="1" a="1"/>
  <c r="J1512" i="1" s="1"/>
  <c r="I1520" i="1" a="1"/>
  <c r="I1520" i="1" s="1"/>
  <c r="I1513" i="1" a="1"/>
  <c r="I1513" i="1" s="1"/>
  <c r="F1520" i="1" a="1"/>
  <c r="F1520" i="1" s="1"/>
  <c r="G1522" i="1" a="1"/>
  <c r="G1522" i="1" s="1"/>
  <c r="J1521" i="1" a="1"/>
  <c r="J1521" i="1" s="1"/>
  <c r="F1515" i="1" a="1"/>
  <c r="F1515" i="1" s="1"/>
  <c r="F1521" i="1" a="1"/>
  <c r="F1521" i="1" s="1"/>
  <c r="I1517" i="1" a="1"/>
  <c r="I1517" i="1" s="1"/>
  <c r="K1513" i="1" a="1"/>
  <c r="K1513" i="1" s="1"/>
  <c r="H1520" i="1" a="1"/>
  <c r="H1520" i="1" s="1"/>
  <c r="I1519" i="1" a="1"/>
  <c r="I1519" i="1" s="1"/>
  <c r="H1505" i="1" a="1"/>
  <c r="H1505" i="1" s="1"/>
  <c r="G1498" i="1" a="1"/>
  <c r="G1498" i="1" s="1"/>
  <c r="F1505" i="1" a="1"/>
  <c r="F1505" i="1" s="1"/>
  <c r="K1499" i="1" a="1"/>
  <c r="K1499" i="1" s="1"/>
  <c r="K1505" i="1" a="1"/>
  <c r="K1505" i="1" s="1"/>
  <c r="I1499" i="1" a="1"/>
  <c r="I1499" i="1" s="1"/>
  <c r="I1498" i="1" a="1"/>
  <c r="I1498" i="1" s="1"/>
  <c r="H1504" i="1" a="1"/>
  <c r="H1504" i="1" s="1"/>
  <c r="J1502" i="1" a="1"/>
  <c r="J1502" i="1" s="1"/>
  <c r="H1502" i="1" a="1"/>
  <c r="H1502" i="1" s="1"/>
  <c r="F1502" i="1" a="1"/>
  <c r="F1502" i="1" s="1"/>
  <c r="K1500" i="1" a="1"/>
  <c r="K1500" i="1" s="1"/>
  <c r="I1500" i="1" a="1"/>
  <c r="I1500" i="1" s="1"/>
  <c r="J1498" i="1" a="1"/>
  <c r="J1498" i="1" s="1"/>
  <c r="H1511" i="1" a="1"/>
  <c r="H1511" i="1" s="1"/>
  <c r="G1511" i="1" a="1"/>
  <c r="G1511" i="1" s="1"/>
  <c r="F1511" i="1" a="1"/>
  <c r="F1511" i="1" s="1"/>
  <c r="J1499" i="1" a="1"/>
  <c r="J1499" i="1" s="1"/>
  <c r="G1504" i="1" a="1"/>
  <c r="G1504" i="1" s="1"/>
  <c r="F1503" i="1" a="1"/>
  <c r="F1503" i="1" s="1"/>
  <c r="K1502" i="1" a="1"/>
  <c r="K1502" i="1" s="1"/>
  <c r="H1498" i="1" a="1"/>
  <c r="H1498" i="1" s="1"/>
  <c r="I1503" i="1" a="1"/>
  <c r="I1503" i="1" s="1"/>
  <c r="H1500" i="1" a="1"/>
  <c r="H1500" i="1" s="1"/>
  <c r="J1505" i="1" a="1"/>
  <c r="J1505" i="1" s="1"/>
  <c r="F1504" i="1" a="1"/>
  <c r="F1504" i="1" s="1"/>
  <c r="I1504" i="1" a="1"/>
  <c r="I1504" i="1" s="1"/>
  <c r="J1504" i="1" a="1"/>
  <c r="J1504" i="1" s="1"/>
  <c r="G1500" i="1" a="1"/>
  <c r="G1500" i="1" s="1"/>
  <c r="I1502" i="1" a="1"/>
  <c r="I1502" i="1" s="1"/>
  <c r="F1499" i="1" a="1"/>
  <c r="F1499" i="1" s="1"/>
  <c r="J1503" i="1" a="1"/>
  <c r="J1503" i="1" s="1"/>
  <c r="G1505" i="1" a="1"/>
  <c r="G1505" i="1" s="1"/>
  <c r="H1503" i="1" a="1"/>
  <c r="H1503" i="1" s="1"/>
  <c r="G1503" i="1" a="1"/>
  <c r="G1503" i="1" s="1"/>
  <c r="F1500" i="1" a="1"/>
  <c r="F1500" i="1" s="1"/>
  <c r="K1498" i="1" a="1"/>
  <c r="K1498" i="1" s="1"/>
  <c r="K1503" i="1" a="1"/>
  <c r="K1503" i="1" s="1"/>
  <c r="J1500" i="1" a="1"/>
  <c r="J1500" i="1" s="1"/>
  <c r="K1504" i="1" a="1"/>
  <c r="K1504" i="1" s="1"/>
  <c r="H1499" i="1" a="1"/>
  <c r="H1499" i="1" s="1"/>
  <c r="G1502" i="1" a="1"/>
  <c r="G1502" i="1" s="1"/>
  <c r="G1499" i="1" a="1"/>
  <c r="G1499" i="1" s="1"/>
  <c r="I1505" i="1" a="1"/>
  <c r="I1505" i="1" s="1"/>
  <c r="I1483" i="1" a="1"/>
  <c r="I1483" i="1" s="1"/>
  <c r="J1485" i="1" a="1"/>
  <c r="J1485" i="1" s="1"/>
  <c r="H1485" i="1" a="1"/>
  <c r="H1485" i="1" s="1"/>
  <c r="K1483" i="1" a="1"/>
  <c r="K1483" i="1" s="1"/>
  <c r="F1490" i="1" a="1"/>
  <c r="F1490" i="1" s="1"/>
  <c r="J1492" i="1" a="1"/>
  <c r="J1492" i="1" s="1"/>
  <c r="H1492" i="1" a="1"/>
  <c r="H1492" i="1" s="1"/>
  <c r="F1492" i="1" a="1"/>
  <c r="F1492" i="1" s="1"/>
  <c r="I1485" i="1" a="1"/>
  <c r="I1485" i="1" s="1"/>
  <c r="F1485" i="1" a="1"/>
  <c r="F1485" i="1" s="1"/>
  <c r="G1483" i="1" a="1"/>
  <c r="G1483" i="1" s="1"/>
  <c r="F1498" i="1" a="1"/>
  <c r="F1498" i="1" s="1"/>
  <c r="J1497" i="1" a="1"/>
  <c r="J1497" i="1" s="1"/>
  <c r="I1497" i="1" a="1"/>
  <c r="I1497" i="1" s="1"/>
  <c r="F1483" i="1" a="1"/>
  <c r="F1483" i="1" s="1"/>
  <c r="K1490" i="1" a="1"/>
  <c r="K1490" i="1" s="1"/>
  <c r="J1483" i="1" a="1"/>
  <c r="J1483" i="1" s="1"/>
  <c r="F1497" i="1" a="1"/>
  <c r="F1497" i="1" s="1"/>
  <c r="K1497" i="1" a="1"/>
  <c r="K1497" i="1" s="1"/>
  <c r="H1497" i="1" a="1"/>
  <c r="H1497" i="1" s="1"/>
  <c r="G1497" i="1" a="1"/>
  <c r="G1497" i="1" s="1"/>
  <c r="K1492" i="1" a="1"/>
  <c r="K1492" i="1" s="1"/>
  <c r="I1492" i="1" a="1"/>
  <c r="I1492" i="1" s="1"/>
  <c r="H1490" i="1" a="1"/>
  <c r="H1490" i="1" s="1"/>
  <c r="G1492" i="1" a="1"/>
  <c r="G1492" i="1" s="1"/>
  <c r="J1490" i="1" a="1"/>
  <c r="J1490" i="1" s="1"/>
  <c r="G1490" i="1" a="1"/>
  <c r="G1490" i="1" s="1"/>
  <c r="H1483" i="1" a="1"/>
  <c r="H1483" i="1" s="1"/>
  <c r="I1490" i="1" a="1"/>
  <c r="I1490" i="1" s="1"/>
  <c r="G1485" i="1" a="1"/>
  <c r="G1485" i="1" s="1"/>
  <c r="K1485" i="1" a="1"/>
  <c r="K1485" i="1" s="1"/>
  <c r="J1450" i="1" a="1"/>
  <c r="J1450" i="1" s="1"/>
  <c r="J1453" i="1" a="1"/>
  <c r="J1453" i="1" s="1"/>
  <c r="K1450" i="1" a="1"/>
  <c r="K1450" i="1" s="1"/>
  <c r="G1450" i="1" a="1"/>
  <c r="G1450" i="1" s="1"/>
  <c r="K1454" i="1" a="1"/>
  <c r="K1454" i="1" s="1"/>
  <c r="J1456" i="1" a="1"/>
  <c r="J1456" i="1" s="1"/>
  <c r="J1449" i="1" a="1"/>
  <c r="J1449" i="1" s="1"/>
  <c r="H1456" i="1" a="1"/>
  <c r="H1456" i="1" s="1"/>
  <c r="I1454" i="1" a="1"/>
  <c r="I1454" i="1" s="1"/>
  <c r="G1454" i="1" a="1"/>
  <c r="G1454" i="1" s="1"/>
  <c r="J1454" i="1" a="1"/>
  <c r="J1454" i="1" s="1"/>
  <c r="I1451" i="1" a="1"/>
  <c r="I1451" i="1" s="1"/>
  <c r="H1451" i="1" a="1"/>
  <c r="H1451" i="1" s="1"/>
  <c r="J1455" i="1" a="1"/>
  <c r="J1455" i="1" s="1"/>
  <c r="G1455" i="1" a="1"/>
  <c r="G1455" i="1" s="1"/>
  <c r="J1451" i="1" a="1"/>
  <c r="J1451" i="1" s="1"/>
  <c r="I1450" i="1" a="1"/>
  <c r="I1450" i="1" s="1"/>
  <c r="F1451" i="1" a="1"/>
  <c r="F1451" i="1" s="1"/>
  <c r="J1452" i="1" a="1"/>
  <c r="J1452" i="1" s="1"/>
  <c r="K1455" i="1" a="1"/>
  <c r="K1455" i="1" s="1"/>
  <c r="I1455" i="1" a="1"/>
  <c r="I1455" i="1" s="1"/>
  <c r="I1449" i="1" a="1"/>
  <c r="I1449" i="1" s="1"/>
  <c r="F1455" i="1" a="1"/>
  <c r="F1455" i="1" s="1"/>
  <c r="G1452" i="1" a="1"/>
  <c r="G1452" i="1" s="1"/>
  <c r="K1453" i="1" a="1"/>
  <c r="K1453" i="1" s="1"/>
  <c r="H1455" i="1" a="1"/>
  <c r="H1455" i="1" s="1"/>
  <c r="F1452" i="1" a="1"/>
  <c r="F1452" i="1" s="1"/>
  <c r="F1450" i="1" a="1"/>
  <c r="F1450" i="1" s="1"/>
  <c r="G1451" i="1" a="1"/>
  <c r="G1451" i="1" s="1"/>
  <c r="G1453" i="1" a="1"/>
  <c r="G1453" i="1" s="1"/>
  <c r="I1452" i="1" a="1"/>
  <c r="I1452" i="1" s="1"/>
  <c r="H1450" i="1" a="1"/>
  <c r="H1450" i="1" s="1"/>
  <c r="K1456" i="1" a="1"/>
  <c r="K1456" i="1" s="1"/>
  <c r="I1456" i="1" a="1"/>
  <c r="I1456" i="1" s="1"/>
  <c r="G1456" i="1" a="1"/>
  <c r="G1456" i="1" s="1"/>
  <c r="H1452" i="1" a="1"/>
  <c r="H1452" i="1" s="1"/>
  <c r="H1453" i="1" a="1"/>
  <c r="H1453" i="1" s="1"/>
  <c r="F1456" i="1" a="1"/>
  <c r="F1456" i="1" s="1"/>
  <c r="F1453" i="1" a="1"/>
  <c r="F1453" i="1" s="1"/>
  <c r="H1454" i="1" a="1"/>
  <c r="H1454" i="1" s="1"/>
  <c r="H1449" i="1" a="1"/>
  <c r="H1449" i="1" s="1"/>
  <c r="I1453" i="1" a="1"/>
  <c r="I1453" i="1" s="1"/>
  <c r="F1454" i="1" a="1"/>
  <c r="F1454" i="1" s="1"/>
  <c r="K1449" i="1" a="1"/>
  <c r="K1449" i="1" s="1"/>
  <c r="K1451" i="1" a="1"/>
  <c r="K1451" i="1" s="1"/>
  <c r="K1452" i="1" a="1"/>
  <c r="K1452" i="1" s="1"/>
  <c r="I1441" i="1" a="1"/>
  <c r="I1441" i="1" s="1"/>
  <c r="K1447" i="1" a="1"/>
  <c r="K1447" i="1" s="1"/>
  <c r="J1447" i="1" a="1"/>
  <c r="J1447" i="1" s="1"/>
  <c r="H1447" i="1" a="1"/>
  <c r="H1447" i="1" s="1"/>
  <c r="K1442" i="1" a="1"/>
  <c r="K1442" i="1" s="1"/>
  <c r="K1441" i="1" a="1"/>
  <c r="K1441" i="1" s="1"/>
  <c r="G1447" i="1" a="1"/>
  <c r="G1447" i="1" s="1"/>
  <c r="H1441" i="1" a="1"/>
  <c r="H1441" i="1" s="1"/>
  <c r="G1440" i="1" a="1"/>
  <c r="G1440" i="1" s="1"/>
  <c r="J1440" i="1" a="1"/>
  <c r="J1440" i="1" s="1"/>
  <c r="J1438" i="1" a="1"/>
  <c r="J1438" i="1" s="1"/>
  <c r="F1447" i="1" a="1"/>
  <c r="F1447" i="1" s="1"/>
  <c r="K1440" i="1" a="1"/>
  <c r="K1440" i="1" s="1"/>
  <c r="H1446" i="1" a="1"/>
  <c r="H1446" i="1" s="1"/>
  <c r="G1444" i="1" a="1"/>
  <c r="G1444" i="1" s="1"/>
  <c r="I1443" i="1" a="1"/>
  <c r="I1443" i="1" s="1"/>
  <c r="H1439" i="1" a="1"/>
  <c r="H1439" i="1" s="1"/>
  <c r="I1440" i="1" a="1"/>
  <c r="I1440" i="1" s="1"/>
  <c r="K1445" i="1" a="1"/>
  <c r="K1445" i="1" s="1"/>
  <c r="K1439" i="1" a="1"/>
  <c r="K1439" i="1" s="1"/>
  <c r="F1445" i="1" a="1"/>
  <c r="F1445" i="1" s="1"/>
  <c r="J1448" i="1" a="1"/>
  <c r="J1448" i="1" s="1"/>
  <c r="J1442" i="1" a="1"/>
  <c r="J1442" i="1" s="1"/>
  <c r="H1448" i="1" a="1"/>
  <c r="H1448" i="1" s="1"/>
  <c r="I1447" i="1" a="1"/>
  <c r="I1447" i="1" s="1"/>
  <c r="J1446" i="1" a="1"/>
  <c r="J1446" i="1" s="1"/>
  <c r="I1446" i="1" a="1"/>
  <c r="I1446" i="1" s="1"/>
  <c r="I1442" i="1" a="1"/>
  <c r="I1442" i="1" s="1"/>
  <c r="G1446" i="1" a="1"/>
  <c r="G1446" i="1" s="1"/>
  <c r="K1438" i="1" a="1"/>
  <c r="K1438" i="1" s="1"/>
  <c r="G1442" i="1" a="1"/>
  <c r="G1442" i="1" s="1"/>
  <c r="F1439" i="1" a="1"/>
  <c r="F1439" i="1" s="1"/>
  <c r="K1443" i="1" a="1"/>
  <c r="K1443" i="1" s="1"/>
  <c r="F1446" i="1" a="1"/>
  <c r="F1446" i="1" s="1"/>
  <c r="J1445" i="1" a="1"/>
  <c r="J1445" i="1" s="1"/>
  <c r="F1444" i="1" a="1"/>
  <c r="F1444" i="1" s="1"/>
  <c r="I1439" i="1" a="1"/>
  <c r="I1439" i="1" s="1"/>
  <c r="H1440" i="1" a="1"/>
  <c r="H1440" i="1" s="1"/>
  <c r="H1445" i="1" a="1"/>
  <c r="H1445" i="1" s="1"/>
  <c r="H1442" i="1" a="1"/>
  <c r="H1442" i="1" s="1"/>
  <c r="J1441" i="1" a="1"/>
  <c r="J1441" i="1" s="1"/>
  <c r="K1444" i="1" a="1"/>
  <c r="K1444" i="1" s="1"/>
  <c r="I1445" i="1" a="1"/>
  <c r="I1445" i="1" s="1"/>
  <c r="J1444" i="1" a="1"/>
  <c r="J1444" i="1" s="1"/>
  <c r="G1441" i="1" a="1"/>
  <c r="G1441" i="1" s="1"/>
  <c r="H1444" i="1" a="1"/>
  <c r="H1444" i="1" s="1"/>
  <c r="F1442" i="1" a="1"/>
  <c r="F1442" i="1" s="1"/>
  <c r="H1443" i="1" a="1"/>
  <c r="H1443" i="1" s="1"/>
  <c r="J1443" i="1" a="1"/>
  <c r="J1443" i="1" s="1"/>
  <c r="F1441" i="1" a="1"/>
  <c r="F1441" i="1" s="1"/>
  <c r="I1444" i="1" a="1"/>
  <c r="I1444" i="1" s="1"/>
  <c r="G1439" i="1" a="1"/>
  <c r="G1439" i="1" s="1"/>
  <c r="J1439" i="1" a="1"/>
  <c r="J1439" i="1" s="1"/>
  <c r="K1446" i="1" a="1"/>
  <c r="K1446" i="1" s="1"/>
  <c r="G1443" i="1" a="1"/>
  <c r="G1443" i="1" s="1"/>
  <c r="G1448" i="1" a="1"/>
  <c r="G1448" i="1" s="1"/>
  <c r="F1440" i="1" a="1"/>
  <c r="F1440" i="1" s="1"/>
  <c r="G1449" i="1" a="1"/>
  <c r="G1449" i="1" s="1"/>
  <c r="F1449" i="1" a="1"/>
  <c r="F1449" i="1" s="1"/>
  <c r="K1448" i="1" a="1"/>
  <c r="K1448" i="1" s="1"/>
  <c r="F1443" i="1" a="1"/>
  <c r="F1443" i="1" s="1"/>
  <c r="I1448" i="1" a="1"/>
  <c r="I1448" i="1" s="1"/>
  <c r="F1448" i="1" a="1"/>
  <c r="F1448" i="1" s="1"/>
  <c r="G1445" i="1" a="1"/>
  <c r="G1445" i="1" s="1"/>
  <c r="I1428" i="1" a="1"/>
  <c r="I1428" i="1" s="1"/>
  <c r="H1438" i="1" a="1"/>
  <c r="H1438" i="1" s="1"/>
  <c r="G1431" i="1" a="1"/>
  <c r="G1431" i="1" s="1"/>
  <c r="K1429" i="1" a="1"/>
  <c r="K1429" i="1" s="1"/>
  <c r="G1438" i="1" a="1"/>
  <c r="G1438" i="1" s="1"/>
  <c r="F1436" i="1" a="1"/>
  <c r="F1436" i="1" s="1"/>
  <c r="J1435" i="1" a="1"/>
  <c r="J1435" i="1" s="1"/>
  <c r="J1431" i="1" a="1"/>
  <c r="J1431" i="1" s="1"/>
  <c r="J1432" i="1" a="1"/>
  <c r="J1432" i="1" s="1"/>
  <c r="F1431" i="1" a="1"/>
  <c r="F1431" i="1" s="1"/>
  <c r="K1430" i="1" a="1"/>
  <c r="K1430" i="1" s="1"/>
  <c r="H1429" i="1" a="1"/>
  <c r="H1429" i="1" s="1"/>
  <c r="I1430" i="1" a="1"/>
  <c r="I1430" i="1" s="1"/>
  <c r="K1437" i="1" a="1"/>
  <c r="K1437" i="1" s="1"/>
  <c r="H1430" i="1" a="1"/>
  <c r="H1430" i="1" s="1"/>
  <c r="G1436" i="1" a="1"/>
  <c r="G1436" i="1" s="1"/>
  <c r="J1430" i="1" a="1"/>
  <c r="J1430" i="1" s="1"/>
  <c r="H1428" i="1" a="1"/>
  <c r="H1428" i="1" s="1"/>
  <c r="K1434" i="1" a="1"/>
  <c r="K1434" i="1" s="1"/>
  <c r="F1438" i="1" a="1"/>
  <c r="F1438" i="1" s="1"/>
  <c r="F1429" i="1" a="1"/>
  <c r="F1429" i="1" s="1"/>
  <c r="G1437" i="1" a="1"/>
  <c r="G1437" i="1" s="1"/>
  <c r="I1437" i="1" a="1"/>
  <c r="I1437" i="1" s="1"/>
  <c r="G1432" i="1" a="1"/>
  <c r="G1432" i="1" s="1"/>
  <c r="J1437" i="1" a="1"/>
  <c r="J1437" i="1" s="1"/>
  <c r="I1434" i="1" a="1"/>
  <c r="I1434" i="1" s="1"/>
  <c r="H1437" i="1" a="1"/>
  <c r="H1437" i="1" s="1"/>
  <c r="G1429" i="1" a="1"/>
  <c r="G1429" i="1" s="1"/>
  <c r="F1437" i="1" a="1"/>
  <c r="F1437" i="1" s="1"/>
  <c r="K1435" i="1" a="1"/>
  <c r="K1435" i="1" s="1"/>
  <c r="H1434" i="1" a="1"/>
  <c r="H1434" i="1" s="1"/>
  <c r="G1434" i="1" a="1"/>
  <c r="G1434" i="1" s="1"/>
  <c r="I1429" i="1" a="1"/>
  <c r="I1429" i="1" s="1"/>
  <c r="I1432" i="1" a="1"/>
  <c r="I1432" i="1" s="1"/>
  <c r="F1432" i="1" a="1"/>
  <c r="F1432" i="1" s="1"/>
  <c r="H1431" i="1" a="1"/>
  <c r="H1431" i="1" s="1"/>
  <c r="G1430" i="1" a="1"/>
  <c r="G1430" i="1" s="1"/>
  <c r="K1428" i="1" a="1"/>
  <c r="K1428" i="1" s="1"/>
  <c r="K1436" i="1" a="1"/>
  <c r="K1436" i="1" s="1"/>
  <c r="J1429" i="1" a="1"/>
  <c r="J1429" i="1" s="1"/>
  <c r="J1436" i="1" a="1"/>
  <c r="J1436" i="1" s="1"/>
  <c r="H1436" i="1" a="1"/>
  <c r="H1436" i="1" s="1"/>
  <c r="K1431" i="1" a="1"/>
  <c r="K1431" i="1" s="1"/>
  <c r="F1434" i="1" a="1"/>
  <c r="F1434" i="1" s="1"/>
  <c r="K1432" i="1" a="1"/>
  <c r="K1432" i="1" s="1"/>
  <c r="F1435" i="1" a="1"/>
  <c r="F1435" i="1" s="1"/>
  <c r="J1428" i="1" a="1"/>
  <c r="J1428" i="1" s="1"/>
  <c r="I1438" i="1" a="1"/>
  <c r="I1438" i="1" s="1"/>
  <c r="I1436" i="1" a="1"/>
  <c r="I1436" i="1" s="1"/>
  <c r="J1434" i="1" a="1"/>
  <c r="J1434" i="1" s="1"/>
  <c r="I1435" i="1" a="1"/>
  <c r="I1435" i="1" s="1"/>
  <c r="H1432" i="1" a="1"/>
  <c r="H1432" i="1" s="1"/>
  <c r="H1435" i="1" a="1"/>
  <c r="H1435" i="1" s="1"/>
  <c r="G1435" i="1" a="1"/>
  <c r="G1435" i="1" s="1"/>
  <c r="F1430" i="1" a="1"/>
  <c r="F1430" i="1" s="1"/>
  <c r="I1431" i="1" a="1"/>
  <c r="I1431" i="1" s="1"/>
  <c r="K1418" i="1" a="1"/>
  <c r="K1418" i="1" s="1"/>
  <c r="G1421" i="1" a="1"/>
  <c r="G1421" i="1" s="1"/>
  <c r="J1418" i="1" a="1"/>
  <c r="J1418" i="1" s="1"/>
  <c r="G1417" i="1" a="1"/>
  <c r="G1417" i="1" s="1"/>
  <c r="H1418" i="1" a="1"/>
  <c r="H1418" i="1" s="1"/>
  <c r="F1421" i="1" a="1"/>
  <c r="F1421" i="1" s="1"/>
  <c r="F1420" i="1" a="1"/>
  <c r="F1420" i="1" s="1"/>
  <c r="J1420" i="1" a="1"/>
  <c r="J1420" i="1" s="1"/>
  <c r="H1417" i="1" a="1"/>
  <c r="H1417" i="1" s="1"/>
  <c r="H1420" i="1" a="1"/>
  <c r="H1420" i="1" s="1"/>
  <c r="F1418" i="1" a="1"/>
  <c r="F1418" i="1" s="1"/>
  <c r="I1416" i="1" a="1"/>
  <c r="I1416" i="1" s="1"/>
  <c r="F1417" i="1" a="1"/>
  <c r="F1417" i="1" s="1"/>
  <c r="F1422" i="1" a="1"/>
  <c r="F1422" i="1" s="1"/>
  <c r="K1419" i="1" a="1"/>
  <c r="K1419" i="1" s="1"/>
  <c r="I1417" i="1" a="1"/>
  <c r="I1417" i="1" s="1"/>
  <c r="H1416" i="1" a="1"/>
  <c r="H1416" i="1" s="1"/>
  <c r="I1422" i="1" a="1"/>
  <c r="I1422" i="1" s="1"/>
  <c r="J1421" i="1" a="1"/>
  <c r="J1421" i="1" s="1"/>
  <c r="H1422" i="1" a="1"/>
  <c r="H1422" i="1" s="1"/>
  <c r="I1420" i="1" a="1"/>
  <c r="I1420" i="1" s="1"/>
  <c r="I1419" i="1" a="1"/>
  <c r="I1419" i="1" s="1"/>
  <c r="J1417" i="1" a="1"/>
  <c r="J1417" i="1" s="1"/>
  <c r="G1422" i="1" a="1"/>
  <c r="G1422" i="1" s="1"/>
  <c r="K1421" i="1" a="1"/>
  <c r="K1421" i="1" s="1"/>
  <c r="J1419" i="1" a="1"/>
  <c r="J1419" i="1" s="1"/>
  <c r="H1419" i="1" a="1"/>
  <c r="H1419" i="1" s="1"/>
  <c r="I1418" i="1" a="1"/>
  <c r="I1418" i="1" s="1"/>
  <c r="J1416" i="1" a="1"/>
  <c r="J1416" i="1" s="1"/>
  <c r="G1416" i="1" a="1"/>
  <c r="G1416" i="1" s="1"/>
  <c r="G1419" i="1" a="1"/>
  <c r="G1419" i="1" s="1"/>
  <c r="K1422" i="1" a="1"/>
  <c r="K1422" i="1" s="1"/>
  <c r="F1419" i="1" a="1"/>
  <c r="F1419" i="1" s="1"/>
  <c r="K1416" i="1" a="1"/>
  <c r="K1416" i="1" s="1"/>
  <c r="H1421" i="1" a="1"/>
  <c r="H1421" i="1" s="1"/>
  <c r="J1422" i="1" a="1"/>
  <c r="J1422" i="1" s="1"/>
  <c r="G1420" i="1" a="1"/>
  <c r="G1420" i="1" s="1"/>
  <c r="G1428" i="1" a="1"/>
  <c r="G1428" i="1" s="1"/>
  <c r="F1428" i="1" a="1"/>
  <c r="F1428" i="1" s="1"/>
  <c r="I1421" i="1" a="1"/>
  <c r="I1421" i="1" s="1"/>
  <c r="G1418" i="1" a="1"/>
  <c r="G1418" i="1" s="1"/>
  <c r="K1417" i="1" a="1"/>
  <c r="K1417" i="1" s="1"/>
  <c r="K1420" i="1" a="1"/>
  <c r="K1420" i="1" s="1"/>
  <c r="H1406" i="1" a="1"/>
  <c r="H1406" i="1" s="1"/>
  <c r="K1414" i="1" a="1"/>
  <c r="K1414" i="1" s="1"/>
  <c r="I1414" i="1" a="1"/>
  <c r="I1414" i="1" s="1"/>
  <c r="F1414" i="1" a="1"/>
  <c r="F1414" i="1"/>
  <c r="H1407" i="1" a="1"/>
  <c r="H1407" i="1" s="1"/>
  <c r="J1406" i="1" a="1"/>
  <c r="J1406" i="1" s="1"/>
  <c r="F1405" i="1" a="1"/>
  <c r="F1405" i="1"/>
  <c r="G1406" i="1" a="1"/>
  <c r="G1406" i="1" s="1"/>
  <c r="K1405" i="1" a="1"/>
  <c r="K1405" i="1"/>
  <c r="J1414" i="1" a="1"/>
  <c r="J1414" i="1"/>
  <c r="H1414" i="1" a="1"/>
  <c r="H1414" i="1"/>
  <c r="G1405" i="1" a="1"/>
  <c r="G1405" i="1"/>
  <c r="G1407" i="1" a="1"/>
  <c r="G1407" i="1"/>
  <c r="I1408" i="1" a="1"/>
  <c r="I1408" i="1"/>
  <c r="I1405" i="1" a="1"/>
  <c r="I1405" i="1" s="1"/>
  <c r="J1407" i="1" a="1"/>
  <c r="J1407" i="1" s="1"/>
  <c r="H1408" i="1" a="1"/>
  <c r="H1408" i="1"/>
  <c r="K1407" i="1" a="1"/>
  <c r="K1407" i="1" s="1"/>
  <c r="J1405" i="1" a="1"/>
  <c r="J1405" i="1"/>
  <c r="I1407" i="1" a="1"/>
  <c r="I1407" i="1" s="1"/>
  <c r="J1403" i="1" a="1"/>
  <c r="J1403" i="1" s="1"/>
  <c r="J1408" i="1" a="1"/>
  <c r="J1408" i="1" s="1"/>
  <c r="I1406" i="1" a="1"/>
  <c r="I1406" i="1" s="1"/>
  <c r="K1406" i="1" a="1"/>
  <c r="K1406" i="1" s="1"/>
  <c r="K1403" i="1" a="1"/>
  <c r="K1403" i="1"/>
  <c r="K1408" i="1" a="1"/>
  <c r="K1408" i="1" s="1"/>
  <c r="G1414" i="1" a="1"/>
  <c r="G1414" i="1" s="1"/>
  <c r="G1408" i="1" a="1"/>
  <c r="G1408" i="1" s="1"/>
  <c r="F1406" i="1" a="1"/>
  <c r="F1406" i="1" s="1"/>
  <c r="F1416" i="1" a="1"/>
  <c r="F1416" i="1"/>
  <c r="K1415" i="1" a="1"/>
  <c r="K1415" i="1"/>
  <c r="H1405" i="1" a="1"/>
  <c r="H1405" i="1"/>
  <c r="J1415" i="1" a="1"/>
  <c r="J1415" i="1"/>
  <c r="I1415" i="1" a="1"/>
  <c r="I1415" i="1"/>
  <c r="H1403" i="1" a="1"/>
  <c r="H1403" i="1"/>
  <c r="H1415" i="1" a="1"/>
  <c r="H1415" i="1" s="1"/>
  <c r="G1415" i="1" a="1"/>
  <c r="G1415" i="1" s="1"/>
  <c r="F1415" i="1" a="1"/>
  <c r="F1415" i="1" s="1"/>
  <c r="G1403" i="1" a="1"/>
  <c r="G1403" i="1"/>
  <c r="I1403" i="1" a="1"/>
  <c r="I1403" i="1"/>
  <c r="F1408" i="1" a="1"/>
  <c r="F1408" i="1" s="1"/>
  <c r="F1407" i="1" a="1"/>
  <c r="F1407" i="1" s="1"/>
  <c r="F1975" i="1" a="1"/>
  <c r="F1975" i="1" s="1"/>
  <c r="I1977" i="1" a="1"/>
  <c r="I1977" i="1" s="1"/>
  <c r="K1976" i="1" a="1"/>
  <c r="K1976" i="1" s="1"/>
  <c r="G1975" i="1" a="1"/>
  <c r="G1975" i="1"/>
  <c r="H1975" i="1" a="1"/>
  <c r="H1975" i="1" s="1"/>
  <c r="H1976" i="1" a="1"/>
  <c r="H1976" i="1" s="1"/>
  <c r="K1977" i="1" a="1"/>
  <c r="K1977" i="1"/>
  <c r="F1977" i="1" a="1"/>
  <c r="F1977" i="1" s="1"/>
  <c r="K1979" i="1" a="1"/>
  <c r="K1979" i="1"/>
  <c r="H1979" i="1" a="1"/>
  <c r="H1979" i="1"/>
  <c r="H1977" i="1" a="1"/>
  <c r="H1977" i="1"/>
  <c r="G1977" i="1" a="1"/>
  <c r="G1977" i="1"/>
  <c r="G1974" i="1" a="1"/>
  <c r="G1974" i="1"/>
  <c r="J1978" i="1" a="1"/>
  <c r="J1978" i="1"/>
  <c r="I1978" i="1" a="1"/>
  <c r="I1978" i="1" s="1"/>
  <c r="I1982" i="1" a="1"/>
  <c r="I1982" i="1" s="1"/>
  <c r="J1981" i="1" a="1"/>
  <c r="J1981" i="1" s="1"/>
  <c r="F1984" i="1" a="1"/>
  <c r="F1984" i="1" s="1"/>
  <c r="J1977" i="1" a="1"/>
  <c r="J1977" i="1" s="1"/>
  <c r="I1976" i="1" a="1"/>
  <c r="I1976" i="1" s="1"/>
  <c r="F1974" i="1" a="1"/>
  <c r="F1974" i="1" s="1"/>
  <c r="J1976" i="1" a="1"/>
  <c r="J1976" i="1" s="1"/>
  <c r="K1974" i="1" a="1"/>
  <c r="K1974" i="1" s="1"/>
  <c r="H1980" i="1" a="1"/>
  <c r="H1980" i="1" s="1"/>
  <c r="K1983" i="1" a="1"/>
  <c r="K1983" i="1" s="1"/>
  <c r="K1981" i="1" a="1"/>
  <c r="K1981" i="1" s="1"/>
  <c r="K1980" i="1" a="1"/>
  <c r="K1980" i="1" s="1"/>
  <c r="F1976" i="1" a="1"/>
  <c r="F1976" i="1" s="1"/>
  <c r="I1979" i="1" a="1"/>
  <c r="I1979" i="1" s="1"/>
  <c r="J1983" i="1" a="1"/>
  <c r="J1983" i="1" s="1"/>
  <c r="J1982" i="1" a="1"/>
  <c r="J1982" i="1" s="1"/>
  <c r="H1982" i="1" a="1"/>
  <c r="H1982" i="1" s="1"/>
  <c r="J1974" i="1" a="1"/>
  <c r="J1974" i="1" s="1"/>
  <c r="G1982" i="1" a="1"/>
  <c r="G1982" i="1" s="1"/>
  <c r="F1981" i="1" a="1"/>
  <c r="F1981" i="1" s="1"/>
  <c r="K1978" i="1" a="1"/>
  <c r="K1978" i="1" s="1"/>
  <c r="J1975" i="1" a="1"/>
  <c r="J1975" i="1" s="1"/>
  <c r="H1981" i="1" a="1"/>
  <c r="H1981" i="1" s="1"/>
  <c r="F1978" i="1" a="1"/>
  <c r="F1978" i="1" s="1"/>
  <c r="I1981" i="1" a="1"/>
  <c r="I1981" i="1" s="1"/>
  <c r="I1983" i="1" a="1"/>
  <c r="I1983" i="1" s="1"/>
  <c r="K1975" i="1" a="1"/>
  <c r="K1975" i="1" s="1"/>
  <c r="I1975" i="1" a="1"/>
  <c r="I1975" i="1" s="1"/>
  <c r="F1979" i="1" a="1"/>
  <c r="F1979" i="1" s="1"/>
  <c r="G1978" i="1" a="1"/>
  <c r="G1978" i="1" s="1"/>
  <c r="I1974" i="1" a="1"/>
  <c r="I1974" i="1" s="1"/>
  <c r="H1974" i="1" a="1"/>
  <c r="H1974" i="1" s="1"/>
  <c r="H1983" i="1" a="1"/>
  <c r="H1983" i="1" s="1"/>
  <c r="K1982" i="1" a="1"/>
  <c r="K1982" i="1" s="1"/>
  <c r="G1983" i="1" a="1"/>
  <c r="G1983" i="1" s="1"/>
  <c r="F1983" i="1" a="1"/>
  <c r="F1983" i="1" s="1"/>
  <c r="J1980" i="1" a="1"/>
  <c r="J1980" i="1" s="1"/>
  <c r="F1982" i="1" a="1"/>
  <c r="F1982" i="1" s="1"/>
  <c r="G1981" i="1" a="1"/>
  <c r="G1981" i="1" s="1"/>
  <c r="I1980" i="1" a="1"/>
  <c r="I1980" i="1" s="1"/>
  <c r="G1980" i="1" a="1"/>
  <c r="G1980" i="1" s="1"/>
  <c r="G1976" i="1" a="1"/>
  <c r="G1976" i="1" s="1"/>
  <c r="H1978" i="1" a="1"/>
  <c r="H1978" i="1" s="1"/>
  <c r="F1980" i="1" a="1"/>
  <c r="F1980" i="1" s="1"/>
  <c r="J1979" i="1" a="1"/>
  <c r="J1979" i="1" s="1"/>
  <c r="G1979" i="1" a="1"/>
  <c r="G1979" i="1" s="1"/>
  <c r="J1402" i="1" a="1"/>
  <c r="J1402" i="1" s="1"/>
  <c r="I1402" i="1" a="1"/>
  <c r="I1402" i="1" s="1"/>
  <c r="J1400" i="1" a="1"/>
  <c r="J1400" i="1" s="1"/>
  <c r="K1399" i="1" a="1"/>
  <c r="K1399" i="1" s="1"/>
  <c r="H1402" i="1" a="1"/>
  <c r="H1402" i="1" s="1"/>
  <c r="G1402" i="1" a="1"/>
  <c r="G1402" i="1" s="1"/>
  <c r="F1402" i="1" a="1"/>
  <c r="F1402" i="1" s="1"/>
  <c r="F1400" i="1" a="1"/>
  <c r="F1400" i="1" s="1"/>
  <c r="K1400" i="1" a="1"/>
  <c r="K1400" i="1" s="1"/>
  <c r="H1399" i="1" a="1"/>
  <c r="H1399" i="1" s="1"/>
  <c r="K1401" i="1" a="1"/>
  <c r="K1401" i="1" s="1"/>
  <c r="J1401" i="1" a="1"/>
  <c r="J1401" i="1" s="1"/>
  <c r="I1401" i="1" a="1"/>
  <c r="I1401" i="1" s="1"/>
  <c r="J1399" i="1" a="1"/>
  <c r="J1399" i="1" s="1"/>
  <c r="H1401" i="1" a="1"/>
  <c r="H1401" i="1" s="1"/>
  <c r="G1401" i="1" a="1"/>
  <c r="G1401" i="1" s="1"/>
  <c r="F1401" i="1" a="1"/>
  <c r="F1401" i="1" s="1"/>
  <c r="H1400" i="1" a="1"/>
  <c r="H1400" i="1" s="1"/>
  <c r="I1400" i="1" a="1"/>
  <c r="I1400" i="1" s="1"/>
  <c r="G1400" i="1" a="1"/>
  <c r="G1400" i="1" s="1"/>
  <c r="I1399" i="1" a="1"/>
  <c r="I1399" i="1" s="1"/>
  <c r="G1399" i="1" a="1"/>
  <c r="G1399" i="1" s="1"/>
  <c r="F1399" i="1" a="1"/>
  <c r="F1399" i="1" s="1"/>
  <c r="F1403" i="1" a="1"/>
  <c r="F1403" i="1" s="1"/>
  <c r="K1402" i="1" a="1"/>
  <c r="K1402" i="1" s="1"/>
  <c r="F1369" i="1" a="1"/>
  <c r="F1369" i="1" s="1"/>
  <c r="J1363" i="1" a="1"/>
  <c r="J1363" i="1" s="1"/>
  <c r="K1368" i="1" a="1"/>
  <c r="K1368" i="1" s="1"/>
  <c r="J1368" i="1" a="1"/>
  <c r="J1368" i="1" s="1"/>
  <c r="H1368" i="1" a="1"/>
  <c r="H1368" i="1" s="1"/>
  <c r="F1363" i="1" a="1"/>
  <c r="F1363" i="1" s="1"/>
  <c r="K1363" i="1" a="1"/>
  <c r="K1363" i="1" s="1"/>
  <c r="I1367" i="1" a="1"/>
  <c r="I1367" i="1" s="1"/>
  <c r="I1364" i="1" a="1"/>
  <c r="I1364" i="1" s="1"/>
  <c r="K1365" i="1" a="1"/>
  <c r="K1365" i="1" s="1"/>
  <c r="G1366" i="1" a="1"/>
  <c r="G1366" i="1" s="1"/>
  <c r="K1369" i="1" a="1"/>
  <c r="K1369" i="1" s="1"/>
  <c r="H1372" i="1" a="1"/>
  <c r="H1372" i="1" s="1"/>
  <c r="J1369" i="1" a="1"/>
  <c r="J1369" i="1" s="1"/>
  <c r="G1368" i="1" a="1"/>
  <c r="G1368" i="1" s="1"/>
  <c r="G1365" i="1" a="1"/>
  <c r="G1365" i="1" s="1"/>
  <c r="G1367" i="1" a="1"/>
  <c r="G1367" i="1" s="1"/>
  <c r="F1368" i="1" a="1"/>
  <c r="F1368" i="1" s="1"/>
  <c r="K1367" i="1" a="1"/>
  <c r="K1367" i="1" s="1"/>
  <c r="J1364" i="1" a="1"/>
  <c r="J1364" i="1" s="1"/>
  <c r="J1372" i="1" a="1"/>
  <c r="J1372" i="1" s="1"/>
  <c r="H1366" i="1" a="1"/>
  <c r="H1366" i="1" s="1"/>
  <c r="J1365" i="1" a="1"/>
  <c r="J1365" i="1" s="1"/>
  <c r="G1364" i="1" a="1"/>
  <c r="G1364" i="1" s="1"/>
  <c r="K1372" i="1" a="1"/>
  <c r="K1372" i="1" s="1"/>
  <c r="H1365" i="1" a="1"/>
  <c r="H1365" i="1" s="1"/>
  <c r="F1364" i="1" a="1"/>
  <c r="F1364" i="1" s="1"/>
  <c r="I1372" i="1" a="1"/>
  <c r="I1372" i="1" s="1"/>
  <c r="G1372" i="1" a="1"/>
  <c r="G1372" i="1" s="1"/>
  <c r="F1372" i="1" a="1"/>
  <c r="F1372" i="1" s="1"/>
  <c r="F1370" i="1" a="1"/>
  <c r="F1370" i="1" s="1"/>
  <c r="G1369" i="1" a="1"/>
  <c r="G1369" i="1" s="1"/>
  <c r="J1367" i="1" a="1"/>
  <c r="J1367" i="1" s="1"/>
  <c r="K1371" i="1" a="1"/>
  <c r="K1371" i="1"/>
  <c r="J1371" i="1" a="1"/>
  <c r="J1371" i="1" s="1"/>
  <c r="I1366" i="1" a="1"/>
  <c r="I1366" i="1" s="1"/>
  <c r="K1370" i="1" a="1"/>
  <c r="K1370" i="1"/>
  <c r="H1367" i="1" a="1"/>
  <c r="H1367" i="1" s="1"/>
  <c r="I1365" i="1" a="1"/>
  <c r="I1365" i="1"/>
  <c r="H1369" i="1" a="1"/>
  <c r="H1369" i="1" s="1"/>
  <c r="G1363" i="1" a="1"/>
  <c r="G1363" i="1" s="1"/>
  <c r="I1371" i="1" a="1"/>
  <c r="I1371" i="1"/>
  <c r="K1366" i="1" a="1"/>
  <c r="K1366" i="1"/>
  <c r="H1371" i="1" a="1"/>
  <c r="H1371" i="1"/>
  <c r="I1368" i="1" a="1"/>
  <c r="I1368" i="1"/>
  <c r="F1365" i="1" a="1"/>
  <c r="F1365" i="1" s="1"/>
  <c r="G1371" i="1" a="1"/>
  <c r="G1371" i="1"/>
  <c r="H1364" i="1" a="1"/>
  <c r="H1364" i="1"/>
  <c r="G1370" i="1" a="1"/>
  <c r="G1370" i="1" s="1"/>
  <c r="K1364" i="1" a="1"/>
  <c r="K1364" i="1" s="1"/>
  <c r="F1371" i="1" a="1"/>
  <c r="F1371" i="1"/>
  <c r="F1366" i="1" a="1"/>
  <c r="F1366" i="1" s="1"/>
  <c r="I1363" i="1" a="1"/>
  <c r="I1363" i="1" s="1"/>
  <c r="H1363" i="1" a="1"/>
  <c r="H1363" i="1" s="1"/>
  <c r="I1370" i="1" a="1"/>
  <c r="I1370" i="1" s="1"/>
  <c r="J1370" i="1" a="1"/>
  <c r="J1370" i="1" s="1"/>
  <c r="F1367" i="1" a="1"/>
  <c r="F1367" i="1" s="1"/>
  <c r="H1370" i="1" a="1"/>
  <c r="H1370" i="1"/>
  <c r="J1366" i="1" a="1"/>
  <c r="J1366" i="1" s="1"/>
  <c r="I1369" i="1" a="1"/>
  <c r="I1369" i="1" s="1"/>
  <c r="K1355" i="1" a="1"/>
  <c r="K1355" i="1" s="1"/>
  <c r="F1360" i="1" a="1"/>
  <c r="F1360" i="1" s="1"/>
  <c r="I1359" i="1" a="1"/>
  <c r="I1359" i="1"/>
  <c r="K1361" i="1" a="1"/>
  <c r="K1361" i="1"/>
  <c r="I1361" i="1" a="1"/>
  <c r="I1361" i="1"/>
  <c r="I1353" i="1" a="1"/>
  <c r="I1353" i="1" s="1"/>
  <c r="H1358" i="1" a="1"/>
  <c r="H1358" i="1" s="1"/>
  <c r="J1355" i="1" a="1"/>
  <c r="J1355" i="1"/>
  <c r="F1358" i="1" a="1"/>
  <c r="F1358" i="1" s="1"/>
  <c r="J1360" i="1" a="1"/>
  <c r="J1360" i="1" s="1"/>
  <c r="G1360" i="1" a="1"/>
  <c r="G1360" i="1" s="1"/>
  <c r="H1356" i="1" a="1"/>
  <c r="H1356" i="1" s="1"/>
  <c r="G1354" i="1" a="1"/>
  <c r="G1354" i="1"/>
  <c r="K1359" i="1" a="1"/>
  <c r="K1359" i="1" s="1"/>
  <c r="K1358" i="1" a="1"/>
  <c r="K1358" i="1"/>
  <c r="J1358" i="1" a="1"/>
  <c r="J1358" i="1" s="1"/>
  <c r="H1352" i="1" a="1"/>
  <c r="H1352" i="1" s="1"/>
  <c r="J1356" i="1" a="1"/>
  <c r="J1356" i="1"/>
  <c r="J1353" i="1" a="1"/>
  <c r="J1353" i="1" s="1"/>
  <c r="J1357" i="1" a="1"/>
  <c r="J1357" i="1" s="1"/>
  <c r="F1356" i="1" a="1"/>
  <c r="F1356" i="1" s="1"/>
  <c r="F1359" i="1" a="1"/>
  <c r="F1359" i="1" s="1"/>
  <c r="G1357" i="1" a="1"/>
  <c r="G1357" i="1"/>
  <c r="K1353" i="1" a="1"/>
  <c r="K1353" i="1" s="1"/>
  <c r="K1356" i="1" a="1"/>
  <c r="K1356" i="1"/>
  <c r="K1352" i="1" a="1"/>
  <c r="K1352" i="1" s="1"/>
  <c r="J1352" i="1" a="1"/>
  <c r="J1352" i="1" s="1"/>
  <c r="K1362" i="1" a="1"/>
  <c r="K1362" i="1"/>
  <c r="J1362" i="1" a="1"/>
  <c r="J1362" i="1" s="1"/>
  <c r="G1355" i="1" a="1"/>
  <c r="G1355" i="1" s="1"/>
  <c r="I1362" i="1" a="1"/>
  <c r="I1362" i="1" s="1"/>
  <c r="H1362" i="1" a="1"/>
  <c r="H1362" i="1" s="1"/>
  <c r="J1361" i="1" a="1"/>
  <c r="J1361" i="1"/>
  <c r="J1359" i="1" a="1"/>
  <c r="J1359" i="1" s="1"/>
  <c r="F1355" i="1" a="1"/>
  <c r="F1355" i="1"/>
  <c r="I1354" i="1" a="1"/>
  <c r="I1354" i="1" s="1"/>
  <c r="G1361" i="1" a="1"/>
  <c r="G1361" i="1" s="1"/>
  <c r="H1357" i="1" a="1"/>
  <c r="H1357" i="1"/>
  <c r="K1354" i="1" a="1"/>
  <c r="K1354" i="1" s="1"/>
  <c r="G1356" i="1" a="1"/>
  <c r="G1356" i="1" s="1"/>
  <c r="H1353" i="1" a="1"/>
  <c r="H1353" i="1" s="1"/>
  <c r="F1353" i="1" a="1"/>
  <c r="F1353" i="1" s="1"/>
  <c r="H1360" i="1" a="1"/>
  <c r="H1360" i="1"/>
  <c r="I1358" i="1" a="1"/>
  <c r="I1358" i="1" s="1"/>
  <c r="K1357" i="1" a="1"/>
  <c r="K1357" i="1" s="1"/>
  <c r="I1356" i="1" a="1"/>
  <c r="I1356" i="1" s="1"/>
  <c r="F1354" i="1" a="1"/>
  <c r="F1354" i="1" s="1"/>
  <c r="H1355" i="1" a="1"/>
  <c r="H1355" i="1"/>
  <c r="H1361" i="1" a="1"/>
  <c r="H1361" i="1" s="1"/>
  <c r="J1354" i="1" a="1"/>
  <c r="J1354" i="1" s="1"/>
  <c r="H1359" i="1" a="1"/>
  <c r="H1359" i="1" s="1"/>
  <c r="H1354" i="1" a="1"/>
  <c r="H1354" i="1" s="1"/>
  <c r="G1353" i="1" a="1"/>
  <c r="G1353" i="1"/>
  <c r="I1352" i="1" a="1"/>
  <c r="I1352" i="1" s="1"/>
  <c r="G1359" i="1" a="1"/>
  <c r="G1359" i="1" s="1"/>
  <c r="G1358" i="1" a="1"/>
  <c r="G1358" i="1" s="1"/>
  <c r="G1362" i="1" a="1"/>
  <c r="G1362" i="1" s="1"/>
  <c r="F1361" i="1" a="1"/>
  <c r="F1361" i="1"/>
  <c r="I1355" i="1" a="1"/>
  <c r="I1355" i="1" s="1"/>
  <c r="K1360" i="1" a="1"/>
  <c r="K1360" i="1" s="1"/>
  <c r="I1360" i="1" a="1"/>
  <c r="I1360" i="1" s="1"/>
  <c r="I1357" i="1" a="1"/>
  <c r="I1357" i="1" s="1"/>
  <c r="F1357" i="1" a="1"/>
  <c r="F1357" i="1"/>
  <c r="F1362" i="1" a="1"/>
  <c r="F1362" i="1" s="1"/>
  <c r="K1345" i="1" a="1"/>
  <c r="K1345" i="1" s="1"/>
  <c r="I1345" i="1" a="1"/>
  <c r="I1345" i="1" s="1"/>
  <c r="J1351" i="1" a="1"/>
  <c r="J1351" i="1" s="1"/>
  <c r="H1350" i="1" a="1"/>
  <c r="H1350" i="1"/>
  <c r="J1347" i="1" a="1"/>
  <c r="J1347" i="1" s="1"/>
  <c r="G1347" i="1" a="1"/>
  <c r="G1347" i="1" s="1"/>
  <c r="I1344" i="1" a="1"/>
  <c r="I1344" i="1" s="1"/>
  <c r="H1351" i="1" a="1"/>
  <c r="H1351" i="1" s="1"/>
  <c r="G1351" i="1" a="1"/>
  <c r="G1351" i="1"/>
  <c r="I1350" i="1" a="1"/>
  <c r="I1350" i="1" s="1"/>
  <c r="F1348" i="1" a="1"/>
  <c r="F1348" i="1" s="1"/>
  <c r="H1347" i="1" a="1"/>
  <c r="H1347" i="1" s="1"/>
  <c r="J1345" i="1" a="1"/>
  <c r="J1345" i="1" s="1"/>
  <c r="K1344" i="1" a="1"/>
  <c r="K1344" i="1"/>
  <c r="G1344" i="1" a="1"/>
  <c r="G1344" i="1" s="1"/>
  <c r="I1347" i="1" a="1"/>
  <c r="I1347" i="1" s="1"/>
  <c r="G1348" i="1" a="1"/>
  <c r="G1348" i="1" s="1"/>
  <c r="F1345" i="1" a="1"/>
  <c r="F1345" i="1" s="1"/>
  <c r="H1345" i="1" a="1"/>
  <c r="H1345" i="1"/>
  <c r="J1348" i="1" a="1"/>
  <c r="J1348" i="1" s="1"/>
  <c r="J1344" i="1" a="1"/>
  <c r="J1344" i="1" s="1"/>
  <c r="J1338" i="1" a="1"/>
  <c r="J1338" i="1" s="1"/>
  <c r="H1348" i="1" a="1"/>
  <c r="H1348" i="1" s="1"/>
  <c r="K1347" i="1" a="1"/>
  <c r="K1347" i="1"/>
  <c r="J1346" i="1" a="1"/>
  <c r="J1346" i="1" s="1"/>
  <c r="F1346" i="1" a="1"/>
  <c r="F1346" i="1" s="1"/>
  <c r="G1352" i="1" a="1"/>
  <c r="G1352" i="1" s="1"/>
  <c r="F1352" i="1" a="1"/>
  <c r="F1352" i="1" s="1"/>
  <c r="K1351" i="1" a="1"/>
  <c r="K1351" i="1"/>
  <c r="I1351" i="1" a="1"/>
  <c r="I1351" i="1" s="1"/>
  <c r="F1351" i="1" a="1"/>
  <c r="F1351" i="1" s="1"/>
  <c r="G1350" i="1" a="1"/>
  <c r="G1350" i="1" s="1"/>
  <c r="K1348" i="1" a="1"/>
  <c r="K1348" i="1" s="1"/>
  <c r="H1344" i="1" a="1"/>
  <c r="H1344" i="1"/>
  <c r="I1338" i="1" a="1"/>
  <c r="I1338" i="1" s="1"/>
  <c r="I1346" i="1" a="1"/>
  <c r="I1346" i="1" s="1"/>
  <c r="G1345" i="1" a="1"/>
  <c r="G1345" i="1" s="1"/>
  <c r="K1338" i="1" a="1"/>
  <c r="K1338" i="1" s="1"/>
  <c r="J1350" i="1" a="1"/>
  <c r="J1350" i="1" s="1"/>
  <c r="K1346" i="1" a="1"/>
  <c r="K1346" i="1" s="1"/>
  <c r="I1348" i="1" a="1"/>
  <c r="I1348" i="1" s="1"/>
  <c r="G1346" i="1" a="1"/>
  <c r="G1346" i="1" s="1"/>
  <c r="F1347" i="1" a="1"/>
  <c r="F1347" i="1" s="1"/>
  <c r="H1346" i="1" a="1"/>
  <c r="H1346" i="1" s="1"/>
  <c r="F1344" i="1" a="1"/>
  <c r="F1344" i="1" s="1"/>
  <c r="F1350" i="1" a="1"/>
  <c r="F1350" i="1" s="1"/>
  <c r="K1350" i="1" a="1"/>
  <c r="K1350" i="1" s="1"/>
  <c r="G1331" i="1" a="1"/>
  <c r="G1331" i="1" s="1"/>
  <c r="G1330" i="1" a="1"/>
  <c r="G1330" i="1" s="1"/>
  <c r="G1335" i="1" a="1"/>
  <c r="G1335" i="1" s="1"/>
  <c r="H1338" i="1" a="1"/>
  <c r="H1338" i="1" s="1"/>
  <c r="J1334" i="1" a="1"/>
  <c r="J1334" i="1" s="1"/>
  <c r="I1334" i="1" a="1"/>
  <c r="I1334" i="1" s="1"/>
  <c r="F1333" i="1" a="1"/>
  <c r="F1333" i="1" s="1"/>
  <c r="I1332" i="1" a="1"/>
  <c r="I1332" i="1" s="1"/>
  <c r="H1336" i="1" a="1"/>
  <c r="H1336" i="1" s="1"/>
  <c r="H1335" i="1" a="1"/>
  <c r="H1335" i="1" s="1"/>
  <c r="G1338" i="1" a="1"/>
  <c r="G1338" i="1" s="1"/>
  <c r="K1336" i="1" a="1"/>
  <c r="K1336" i="1" s="1"/>
  <c r="K1335" i="1" a="1"/>
  <c r="K1335" i="1" s="1"/>
  <c r="F1338" i="1" a="1"/>
  <c r="F1338" i="1" s="1"/>
  <c r="H1332" i="1" a="1"/>
  <c r="H1332" i="1" s="1"/>
  <c r="I1333" i="1" a="1"/>
  <c r="I1333" i="1" s="1"/>
  <c r="K1337" i="1" a="1"/>
  <c r="K1337" i="1" s="1"/>
  <c r="J1332" i="1" a="1"/>
  <c r="J1332" i="1" s="1"/>
  <c r="F1337" i="1" a="1"/>
  <c r="F1337" i="1" s="1"/>
  <c r="J1337" i="1" a="1"/>
  <c r="J1337" i="1" s="1"/>
  <c r="K1333" i="1" a="1"/>
  <c r="K1333" i="1" s="1"/>
  <c r="I1337" i="1" a="1"/>
  <c r="I1337" i="1" s="1"/>
  <c r="F1335" i="1" a="1"/>
  <c r="F1335" i="1" s="1"/>
  <c r="I1331" i="1" a="1"/>
  <c r="I1331" i="1" s="1"/>
  <c r="H1337" i="1" a="1"/>
  <c r="H1337" i="1" s="1"/>
  <c r="J1333" i="1" a="1"/>
  <c r="J1333" i="1" s="1"/>
  <c r="J1336" i="1" a="1"/>
  <c r="J1336" i="1" s="1"/>
  <c r="H1334" i="1" a="1"/>
  <c r="H1334" i="1" s="1"/>
  <c r="G1332" i="1" a="1"/>
  <c r="G1332" i="1" s="1"/>
  <c r="F1336" i="1" a="1"/>
  <c r="F1336" i="1" s="1"/>
  <c r="G1336" i="1" a="1"/>
  <c r="G1336" i="1" s="1"/>
  <c r="F1331" i="1" a="1"/>
  <c r="F1331" i="1" s="1"/>
  <c r="J1335" i="1" a="1"/>
  <c r="J1335" i="1" s="1"/>
  <c r="J1331" i="1" a="1"/>
  <c r="J1331" i="1" s="1"/>
  <c r="G1334" i="1" a="1"/>
  <c r="G1334" i="1" s="1"/>
  <c r="H1333" i="1" a="1"/>
  <c r="H1333" i="1" s="1"/>
  <c r="K1331" i="1" a="1"/>
  <c r="K1331" i="1" s="1"/>
  <c r="H1331" i="1" a="1"/>
  <c r="H1331" i="1" s="1"/>
  <c r="G1337" i="1" a="1"/>
  <c r="G1337" i="1" s="1"/>
  <c r="K1332" i="1" a="1"/>
  <c r="K1332" i="1" s="1"/>
  <c r="K1330" i="1" a="1"/>
  <c r="K1330" i="1" s="1"/>
  <c r="H1330" i="1" a="1"/>
  <c r="H1330" i="1" s="1"/>
  <c r="K1334" i="1" a="1"/>
  <c r="K1334" i="1" s="1"/>
  <c r="I1330" i="1" a="1"/>
  <c r="I1330" i="1" s="1"/>
  <c r="F1330" i="1" a="1"/>
  <c r="F1330" i="1" s="1"/>
  <c r="I1335" i="1" a="1"/>
  <c r="I1335" i="1" s="1"/>
  <c r="G1333" i="1" a="1"/>
  <c r="G1333" i="1" s="1"/>
  <c r="I1336" i="1" a="1"/>
  <c r="I1336" i="1" s="1"/>
  <c r="F1334" i="1" a="1"/>
  <c r="F1334" i="1" s="1"/>
  <c r="F1332" i="1" a="1"/>
  <c r="F1332" i="1" s="1"/>
  <c r="J1330" i="1" a="1"/>
  <c r="J1330" i="1" s="1"/>
  <c r="J1321" i="1" a="1"/>
  <c r="J1321" i="1" s="1"/>
  <c r="J1319" i="1" a="1"/>
  <c r="J1319" i="1" s="1"/>
  <c r="K1318" i="1" a="1"/>
  <c r="K1318" i="1" s="1"/>
  <c r="G1321" i="1" a="1"/>
  <c r="G1321" i="1" s="1"/>
  <c r="G1316" i="1" a="1"/>
  <c r="G1316" i="1" s="1"/>
  <c r="F1318" i="1" a="1"/>
  <c r="F1318" i="1" s="1"/>
  <c r="I1316" i="1" a="1"/>
  <c r="I1316" i="1" s="1"/>
  <c r="G1317" i="1" a="1"/>
  <c r="G1317" i="1" s="1"/>
  <c r="F1316" i="1" a="1"/>
  <c r="F1316" i="1" s="1"/>
  <c r="J1315" i="1" a="1"/>
  <c r="J1315" i="1" s="1"/>
  <c r="H1317" i="1" a="1"/>
  <c r="H1317" i="1" s="1"/>
  <c r="K1321" i="1" a="1"/>
  <c r="K1321" i="1" s="1"/>
  <c r="H1322" i="1" a="1"/>
  <c r="H1322" i="1" s="1"/>
  <c r="I1323" i="1" a="1"/>
  <c r="I1323" i="1" s="1"/>
  <c r="F1319" i="1" a="1"/>
  <c r="F1319" i="1" s="1"/>
  <c r="H1316" i="1" a="1"/>
  <c r="H1316" i="1" s="1"/>
  <c r="K1322" i="1" a="1"/>
  <c r="K1322" i="1" s="1"/>
  <c r="G1322" i="1" a="1"/>
  <c r="G1322" i="1" s="1"/>
  <c r="H1318" i="1" a="1"/>
  <c r="H1318" i="1" s="1"/>
  <c r="K1319" i="1" a="1"/>
  <c r="K1319" i="1" s="1"/>
  <c r="G1319" i="1" a="1"/>
  <c r="G1319" i="1" s="1"/>
  <c r="I1321" i="1" a="1"/>
  <c r="I1321" i="1" s="1"/>
  <c r="F1315" i="1" a="1"/>
  <c r="F1315" i="1" s="1"/>
  <c r="K1317" i="1" a="1"/>
  <c r="K1317" i="1" s="1"/>
  <c r="I1318" i="1" a="1"/>
  <c r="I1318" i="1" s="1"/>
  <c r="G1318" i="1" a="1"/>
  <c r="G1318" i="1" s="1"/>
  <c r="H1321" i="1" a="1"/>
  <c r="H1321" i="1" s="1"/>
  <c r="J1318" i="1" a="1"/>
  <c r="J1318" i="1" s="1"/>
  <c r="K1324" i="1" a="1"/>
  <c r="K1324" i="1" s="1"/>
  <c r="I1317" i="1" a="1"/>
  <c r="I1317" i="1" s="1"/>
  <c r="J1324" i="1" a="1"/>
  <c r="J1324" i="1" s="1"/>
  <c r="J1317" i="1" a="1"/>
  <c r="J1317" i="1" s="1"/>
  <c r="I1315" i="1" a="1"/>
  <c r="I1315" i="1" s="1"/>
  <c r="I1324" i="1" a="1"/>
  <c r="I1324" i="1" s="1"/>
  <c r="H1324" i="1" a="1"/>
  <c r="H1324" i="1" s="1"/>
  <c r="G1324" i="1" a="1"/>
  <c r="G1324" i="1" s="1"/>
  <c r="H1315" i="1" a="1"/>
  <c r="H1315" i="1" s="1"/>
  <c r="F1324" i="1" a="1"/>
  <c r="F1324" i="1" s="1"/>
  <c r="J1316" i="1" a="1"/>
  <c r="J1316" i="1" s="1"/>
  <c r="K1323" i="1" a="1"/>
  <c r="K1323" i="1" s="1"/>
  <c r="J1322" i="1" a="1"/>
  <c r="J1322" i="1" s="1"/>
  <c r="J1323" i="1" a="1"/>
  <c r="J1323" i="1" s="1"/>
  <c r="H1323" i="1" a="1"/>
  <c r="H1323" i="1" s="1"/>
  <c r="G1323" i="1" a="1"/>
  <c r="G1323" i="1" s="1"/>
  <c r="K1315" i="1" a="1"/>
  <c r="K1315" i="1" s="1"/>
  <c r="F1321" i="1" a="1"/>
  <c r="F1321" i="1" s="1"/>
  <c r="I1319" i="1" a="1"/>
  <c r="I1319" i="1" s="1"/>
  <c r="G1315" i="1" a="1"/>
  <c r="G1315" i="1" s="1"/>
  <c r="F1323" i="1" a="1"/>
  <c r="F1323" i="1" s="1"/>
  <c r="I1322" i="1" a="1"/>
  <c r="I1322" i="1" s="1"/>
  <c r="F1317" i="1" a="1"/>
  <c r="F1317" i="1" s="1"/>
  <c r="F1322" i="1" a="1"/>
  <c r="F1322" i="1" s="1"/>
  <c r="K1316" i="1" a="1"/>
  <c r="K1316" i="1" s="1"/>
  <c r="H1319" i="1" a="1"/>
  <c r="H1319" i="1" s="1"/>
  <c r="G1260" i="1" a="1"/>
  <c r="G1260" i="1" s="1"/>
  <c r="H1259" i="1" a="1"/>
  <c r="H1259" i="1" s="1"/>
  <c r="J1255" i="1" a="1"/>
  <c r="J1255" i="1" s="1"/>
  <c r="I1258" i="1" a="1"/>
  <c r="I1258" i="1" s="1"/>
  <c r="G1259" i="1" a="1"/>
  <c r="G1259" i="1" s="1"/>
  <c r="I1261" i="1" a="1"/>
  <c r="I1261" i="1" s="1"/>
  <c r="K1257" i="1" a="1"/>
  <c r="K1257" i="1" s="1"/>
  <c r="I1257" i="1" a="1"/>
  <c r="I1257" i="1" s="1"/>
  <c r="G1257" i="1" a="1"/>
  <c r="G1257" i="1" s="1"/>
  <c r="J1257" i="1" a="1"/>
  <c r="J1257" i="1" s="1"/>
  <c r="I1260" i="1" a="1"/>
  <c r="I1260" i="1" s="1"/>
  <c r="H1258" i="1" a="1"/>
  <c r="H1258" i="1" s="1"/>
  <c r="F1260" i="1" a="1"/>
  <c r="F1260" i="1" s="1"/>
  <c r="H1253" i="1" a="1"/>
  <c r="H1253" i="1" s="1"/>
  <c r="J1259" i="1" a="1"/>
  <c r="J1259" i="1" s="1"/>
  <c r="F1259" i="1" a="1"/>
  <c r="F1259" i="1" s="1"/>
  <c r="F1261" i="1" a="1"/>
  <c r="F1261" i="1" s="1"/>
  <c r="G1255" i="1" a="1"/>
  <c r="G1255" i="1" s="1"/>
  <c r="G1256" i="1" a="1"/>
  <c r="G1256" i="1" s="1"/>
  <c r="H1257" i="1" a="1"/>
  <c r="H1257" i="1" s="1"/>
  <c r="F1257" i="1" a="1"/>
  <c r="F1257" i="1" s="1"/>
  <c r="F1254" i="1" a="1"/>
  <c r="F1254" i="1" s="1"/>
  <c r="J1258" i="1" a="1"/>
  <c r="J1258" i="1" s="1"/>
  <c r="K1260" i="1" a="1"/>
  <c r="K1260" i="1" s="1"/>
  <c r="G1258" i="1" a="1"/>
  <c r="G1258" i="1" s="1"/>
  <c r="H1255" i="1" a="1"/>
  <c r="H1255" i="1" s="1"/>
  <c r="I1259" i="1" a="1"/>
  <c r="I1259" i="1" s="1"/>
  <c r="F1258" i="1" a="1"/>
  <c r="F1258" i="1" s="1"/>
  <c r="F1256" i="1" a="1"/>
  <c r="F1256" i="1" s="1"/>
  <c r="I1254" i="1" a="1"/>
  <c r="I1254" i="1" s="1"/>
  <c r="K1255" i="1" a="1"/>
  <c r="K1255" i="1" s="1"/>
  <c r="F1255" i="1" a="1"/>
  <c r="F1255" i="1" s="1"/>
  <c r="J1261" i="1" a="1"/>
  <c r="J1261" i="1" s="1"/>
  <c r="K1261" i="1" a="1"/>
  <c r="K1261" i="1" s="1"/>
  <c r="H1261" i="1" a="1"/>
  <c r="H1261" i="1" s="1"/>
  <c r="K1258" i="1" a="1"/>
  <c r="K1258" i="1" s="1"/>
  <c r="J1256" i="1" a="1"/>
  <c r="J1256" i="1" s="1"/>
  <c r="K1256" i="1" a="1"/>
  <c r="K1256" i="1" s="1"/>
  <c r="G1261" i="1" a="1"/>
  <c r="G1261" i="1" s="1"/>
  <c r="K1254" i="1" a="1"/>
  <c r="K1254" i="1" s="1"/>
  <c r="J1254" i="1" a="1"/>
  <c r="J1254" i="1" s="1"/>
  <c r="J1260" i="1" a="1"/>
  <c r="J1260" i="1" s="1"/>
  <c r="J1253" i="1" a="1"/>
  <c r="J1253" i="1" s="1"/>
  <c r="H1260" i="1" a="1"/>
  <c r="H1260" i="1" s="1"/>
  <c r="K1259" i="1" a="1"/>
  <c r="K1259" i="1" s="1"/>
  <c r="I1256" i="1" a="1"/>
  <c r="I1256" i="1" s="1"/>
  <c r="H1256" i="1" a="1"/>
  <c r="H1256" i="1" s="1"/>
  <c r="I1255" i="1" a="1"/>
  <c r="I1255" i="1" s="1"/>
  <c r="H1254" i="1" a="1"/>
  <c r="H1254" i="1" s="1"/>
  <c r="G1254" i="1" a="1"/>
  <c r="G1254" i="1" s="1"/>
  <c r="I1253" i="1" a="1"/>
  <c r="I1253" i="1" s="1"/>
  <c r="K1253" i="1" a="1"/>
  <c r="K1253" i="1" s="1"/>
  <c r="I1249" i="1" a="1"/>
  <c r="I1249" i="1" s="1"/>
  <c r="I1246" i="1" a="1"/>
  <c r="I1246" i="1" s="1"/>
  <c r="F1250" i="1" a="1"/>
  <c r="F1250" i="1" s="1"/>
  <c r="K1249" i="1" a="1"/>
  <c r="K1249" i="1" s="1"/>
  <c r="J1242" i="1" a="1"/>
  <c r="J1242" i="1" s="1"/>
  <c r="J1249" i="1" a="1"/>
  <c r="J1249" i="1" s="1"/>
  <c r="G1248" i="1" a="1"/>
  <c r="G1248" i="1" s="1"/>
  <c r="J1246" i="1" a="1"/>
  <c r="J1246" i="1" s="1"/>
  <c r="G1247" i="1" a="1"/>
  <c r="G1247" i="1" s="1"/>
  <c r="G1243" i="1" a="1"/>
  <c r="G1243" i="1" s="1"/>
  <c r="F1243" i="1" a="1"/>
  <c r="F1243" i="1" s="1"/>
  <c r="H1245" i="1" a="1"/>
  <c r="H1245" i="1" s="1"/>
  <c r="I1244" i="1" a="1"/>
  <c r="I1244" i="1" s="1"/>
  <c r="G1246" i="1" a="1"/>
  <c r="G1246" i="1" s="1"/>
  <c r="G1245" i="1" a="1"/>
  <c r="G1245" i="1" s="1"/>
  <c r="F1246" i="1" a="1"/>
  <c r="F1246" i="1" s="1"/>
  <c r="F1245" i="1" a="1"/>
  <c r="F1245" i="1" s="1"/>
  <c r="F1253" i="1" a="1"/>
  <c r="F1253" i="1" s="1"/>
  <c r="H1243" i="1" a="1"/>
  <c r="H1243" i="1" s="1"/>
  <c r="G1251" i="1" a="1"/>
  <c r="G1251" i="1" s="1"/>
  <c r="H1247" i="1" a="1"/>
  <c r="H1247" i="1" s="1"/>
  <c r="F1251" i="1" a="1"/>
  <c r="F1251" i="1" s="1"/>
  <c r="I1247" i="1" a="1"/>
  <c r="I1247" i="1" s="1"/>
  <c r="H1244" i="1" a="1"/>
  <c r="H1244" i="1" s="1"/>
  <c r="J1244" i="1" a="1"/>
  <c r="J1244" i="1" s="1"/>
  <c r="G1250" i="1" a="1"/>
  <c r="G1250" i="1" s="1"/>
  <c r="H1246" i="1" a="1"/>
  <c r="H1246" i="1" s="1"/>
  <c r="K1244" i="1" a="1"/>
  <c r="K1244" i="1" s="1"/>
  <c r="G1249" i="1" a="1"/>
  <c r="G1249" i="1" s="1"/>
  <c r="F1248" i="1" a="1"/>
  <c r="F1248" i="1" s="1"/>
  <c r="K1248" i="1" a="1"/>
  <c r="K1248" i="1" s="1"/>
  <c r="F1247" i="1" a="1"/>
  <c r="F1247" i="1" s="1"/>
  <c r="H1252" i="1" a="1"/>
  <c r="H1252" i="1" s="1"/>
  <c r="G1252" i="1" a="1"/>
  <c r="G1252" i="1" s="1"/>
  <c r="F1252" i="1" a="1"/>
  <c r="F1252" i="1" s="1"/>
  <c r="K1243" i="1" a="1"/>
  <c r="K1243" i="1" s="1"/>
  <c r="I1251" i="1" a="1"/>
  <c r="I1251" i="1" s="1"/>
  <c r="J1248" i="1" a="1"/>
  <c r="J1248" i="1" s="1"/>
  <c r="K1247" i="1" a="1"/>
  <c r="K1247" i="1" s="1"/>
  <c r="J1243" i="1" a="1"/>
  <c r="J1243" i="1" s="1"/>
  <c r="H1251" i="1" a="1"/>
  <c r="H1251" i="1" s="1"/>
  <c r="F1249" i="1" a="1"/>
  <c r="F1249" i="1" s="1"/>
  <c r="I1243" i="1" a="1"/>
  <c r="I1243" i="1" s="1"/>
  <c r="J1245" i="1" a="1"/>
  <c r="J1245" i="1" s="1"/>
  <c r="I1248" i="1" a="1"/>
  <c r="I1248" i="1" s="1"/>
  <c r="J1247" i="1" a="1"/>
  <c r="J1247" i="1" s="1"/>
  <c r="K1245" i="1" a="1"/>
  <c r="K1245" i="1" s="1"/>
  <c r="K1246" i="1" a="1"/>
  <c r="K1246" i="1" s="1"/>
  <c r="K1252" i="1" a="1"/>
  <c r="K1252" i="1" s="1"/>
  <c r="G1244" i="1" a="1"/>
  <c r="G1244" i="1" s="1"/>
  <c r="K1242" i="1" a="1"/>
  <c r="K1242" i="1" s="1"/>
  <c r="G1253" i="1" a="1"/>
  <c r="G1253" i="1" s="1"/>
  <c r="J1250" i="1" a="1"/>
  <c r="J1250" i="1" s="1"/>
  <c r="K1250" i="1" a="1"/>
  <c r="K1250" i="1" s="1"/>
  <c r="H1249" i="1" a="1"/>
  <c r="H1249" i="1" s="1"/>
  <c r="I1245" i="1" a="1"/>
  <c r="I1245" i="1" s="1"/>
  <c r="F1244" i="1" a="1"/>
  <c r="F1244" i="1" s="1"/>
  <c r="H1250" i="1" a="1"/>
  <c r="H1250" i="1" s="1"/>
  <c r="H1248" i="1" a="1"/>
  <c r="H1248" i="1" s="1"/>
  <c r="J1252" i="1" a="1"/>
  <c r="J1252" i="1" s="1"/>
  <c r="I1252" i="1" a="1"/>
  <c r="I1252" i="1" s="1"/>
  <c r="K1251" i="1" a="1"/>
  <c r="K1251" i="1" s="1"/>
  <c r="J1251" i="1" a="1"/>
  <c r="J1251" i="1" s="1"/>
  <c r="I1250" i="1" a="1"/>
  <c r="I1250" i="1" s="1"/>
  <c r="K1237" i="1" a="1"/>
  <c r="K1237" i="1" s="1"/>
  <c r="H1234" i="1" a="1"/>
  <c r="H1234" i="1" s="1"/>
  <c r="H1238" i="1" a="1"/>
  <c r="H1238" i="1" s="1"/>
  <c r="J1237" i="1" a="1"/>
  <c r="J1237" i="1" s="1"/>
  <c r="F1235" i="1" a="1"/>
  <c r="F1235" i="1" s="1"/>
  <c r="F1232" i="1" a="1"/>
  <c r="F1232" i="1" s="1"/>
  <c r="H1237" i="1" a="1"/>
  <c r="H1237" i="1" s="1"/>
  <c r="G1236" i="1" a="1"/>
  <c r="G1236" i="1" s="1"/>
  <c r="F1233" i="1" a="1"/>
  <c r="F1233" i="1" s="1"/>
  <c r="J1232" i="1" a="1"/>
  <c r="J1232" i="1" s="1"/>
  <c r="G1234" i="1" a="1"/>
  <c r="G1234" i="1" s="1"/>
  <c r="H1235" i="1" a="1"/>
  <c r="H1235" i="1" s="1"/>
  <c r="K1234" i="1" a="1"/>
  <c r="K1234" i="1" s="1"/>
  <c r="K1232" i="1" a="1"/>
  <c r="K1232" i="1" s="1"/>
  <c r="I1232" i="1" a="1"/>
  <c r="I1232" i="1" s="1"/>
  <c r="G1232" i="1" a="1"/>
  <c r="G1232" i="1" s="1"/>
  <c r="I1242" i="1" a="1"/>
  <c r="I1242" i="1" s="1"/>
  <c r="H1242" i="1" a="1"/>
  <c r="H1242" i="1" s="1"/>
  <c r="J1241" i="1" a="1"/>
  <c r="J1241" i="1" s="1"/>
  <c r="K1236" i="1" a="1"/>
  <c r="K1236" i="1" s="1"/>
  <c r="H1232" i="1" a="1"/>
  <c r="H1232" i="1" s="1"/>
  <c r="F1241" i="1" a="1"/>
  <c r="F1241" i="1" s="1"/>
  <c r="I1239" i="1" a="1"/>
  <c r="I1239" i="1" s="1"/>
  <c r="K1235" i="1" a="1"/>
  <c r="K1235" i="1" s="1"/>
  <c r="K1233" i="1" a="1"/>
  <c r="K1233" i="1" s="1"/>
  <c r="J1233" i="1" a="1"/>
  <c r="J1233" i="1" s="1"/>
  <c r="G1242" i="1" a="1"/>
  <c r="G1242" i="1" s="1"/>
  <c r="F1242" i="1" a="1"/>
  <c r="F1242" i="1" s="1"/>
  <c r="F1237" i="1" a="1"/>
  <c r="F1237" i="1" s="1"/>
  <c r="H1236" i="1" a="1"/>
  <c r="H1236" i="1" s="1"/>
  <c r="J1234" i="1" a="1"/>
  <c r="J1234" i="1" s="1"/>
  <c r="G1233" i="1" a="1"/>
  <c r="G1233" i="1" s="1"/>
  <c r="K1241" i="1" a="1"/>
  <c r="K1241" i="1" s="1"/>
  <c r="H1241" i="1" a="1"/>
  <c r="H1241" i="1" s="1"/>
  <c r="G1240" i="1" a="1"/>
  <c r="G1240" i="1" s="1"/>
  <c r="F1236" i="1" a="1"/>
  <c r="F1236" i="1" s="1"/>
  <c r="G1241" i="1" a="1"/>
  <c r="G1241" i="1" s="1"/>
  <c r="I1240" i="1" a="1"/>
  <c r="I1240" i="1" s="1"/>
  <c r="J1239" i="1" a="1"/>
  <c r="J1239" i="1" s="1"/>
  <c r="I1233" i="1" a="1"/>
  <c r="I1233" i="1" s="1"/>
  <c r="G1238" i="1" a="1"/>
  <c r="G1238" i="1" s="1"/>
  <c r="I1235" i="1" a="1"/>
  <c r="I1235" i="1" s="1"/>
  <c r="I1234" i="1" a="1"/>
  <c r="I1234" i="1" s="1"/>
  <c r="J1235" i="1" a="1"/>
  <c r="J1235" i="1" s="1"/>
  <c r="G1235" i="1" a="1"/>
  <c r="G1235" i="1" s="1"/>
  <c r="F1234" i="1" a="1"/>
  <c r="F1234" i="1" s="1"/>
  <c r="I1241" i="1" a="1"/>
  <c r="I1241" i="1" s="1"/>
  <c r="K1240" i="1" a="1"/>
  <c r="K1240" i="1" s="1"/>
  <c r="J1240" i="1" a="1"/>
  <c r="J1240" i="1" s="1"/>
  <c r="H1240" i="1" a="1"/>
  <c r="H1240" i="1" s="1"/>
  <c r="F1240" i="1" a="1"/>
  <c r="F1240" i="1" s="1"/>
  <c r="K1239" i="1" a="1"/>
  <c r="K1239" i="1" s="1"/>
  <c r="H1239" i="1" a="1"/>
  <c r="H1239" i="1" s="1"/>
  <c r="G1239" i="1" a="1"/>
  <c r="G1239" i="1" s="1"/>
  <c r="J1238" i="1" a="1"/>
  <c r="J1238" i="1" s="1"/>
  <c r="F1239" i="1" a="1"/>
  <c r="F1239" i="1" s="1"/>
  <c r="K1238" i="1" a="1"/>
  <c r="K1238" i="1" s="1"/>
  <c r="I1237" i="1" a="1"/>
  <c r="I1237" i="1" s="1"/>
  <c r="H1233" i="1" a="1"/>
  <c r="H1233" i="1" s="1"/>
  <c r="G1237" i="1" a="1"/>
  <c r="G1237" i="1" s="1"/>
  <c r="I1236" i="1" a="1"/>
  <c r="I1236" i="1" s="1"/>
  <c r="I1238" i="1" a="1"/>
  <c r="I1238" i="1" s="1"/>
  <c r="F1238" i="1" a="1"/>
  <c r="F1238" i="1" s="1"/>
  <c r="J1236" i="1" a="1"/>
  <c r="J1236" i="1" s="1"/>
  <c r="J1224" i="1" a="1"/>
  <c r="J1224" i="1" s="1"/>
  <c r="F1229" i="1" a="1"/>
  <c r="F1229" i="1" s="1"/>
  <c r="H1225" i="1" a="1"/>
  <c r="H1225" i="1" s="1"/>
  <c r="H1223" i="1" a="1"/>
  <c r="H1223" i="1" s="1"/>
  <c r="G1225" i="1" a="1"/>
  <c r="G1225" i="1" s="1"/>
  <c r="H1222" i="1" a="1"/>
  <c r="H1222" i="1" s="1"/>
  <c r="H1231" i="1" a="1"/>
  <c r="H1231" i="1" s="1"/>
  <c r="G1231" i="1" a="1"/>
  <c r="G1231" i="1" s="1"/>
  <c r="F1231" i="1" a="1"/>
  <c r="F1231" i="1" s="1"/>
  <c r="F1225" i="1" a="1"/>
  <c r="F1225" i="1" s="1"/>
  <c r="F1230" i="1" a="1"/>
  <c r="F1230" i="1" s="1"/>
  <c r="K1227" i="1" a="1"/>
  <c r="K1227" i="1" s="1"/>
  <c r="H1227" i="1" a="1"/>
  <c r="H1227" i="1" s="1"/>
  <c r="G1226" i="1" a="1"/>
  <c r="G1226" i="1" s="1"/>
  <c r="G1229" i="1" a="1"/>
  <c r="G1229" i="1" s="1"/>
  <c r="K1222" i="1" a="1"/>
  <c r="K1222" i="1" s="1"/>
  <c r="G1222" i="1" a="1"/>
  <c r="G1222" i="1" s="1"/>
  <c r="H1221" i="1" a="1"/>
  <c r="H1221" i="1" s="1"/>
  <c r="G1228" i="1" a="1"/>
  <c r="G1228" i="1" s="1"/>
  <c r="K1229" i="1" a="1"/>
  <c r="K1229" i="1" s="1"/>
  <c r="I1227" i="1" a="1"/>
  <c r="I1227" i="1" s="1"/>
  <c r="F1222" i="1" a="1"/>
  <c r="F1222" i="1" s="1"/>
  <c r="K1230" i="1" a="1"/>
  <c r="K1230" i="1" s="1"/>
  <c r="H1230" i="1" a="1"/>
  <c r="H1230" i="1" s="1"/>
  <c r="H1228" i="1" a="1"/>
  <c r="H1228" i="1" s="1"/>
  <c r="J1227" i="1" a="1"/>
  <c r="J1227" i="1" s="1"/>
  <c r="K1224" i="1" a="1"/>
  <c r="K1224" i="1" s="1"/>
  <c r="F1226" i="1" a="1"/>
  <c r="F1226" i="1" s="1"/>
  <c r="G1224" i="1" a="1"/>
  <c r="G1224" i="1" s="1"/>
  <c r="F1224" i="1" a="1"/>
  <c r="F1224" i="1" s="1"/>
  <c r="I1223" i="1" a="1"/>
  <c r="I1223" i="1" s="1"/>
  <c r="F1228" i="1" a="1"/>
  <c r="F1228" i="1" s="1"/>
  <c r="J1230" i="1" a="1"/>
  <c r="J1230" i="1" s="1"/>
  <c r="I1224" i="1" a="1"/>
  <c r="I1224" i="1" s="1"/>
  <c r="I1229" i="1" a="1"/>
  <c r="I1229" i="1" s="1"/>
  <c r="I1230" i="1" a="1"/>
  <c r="I1230" i="1" s="1"/>
  <c r="G1230" i="1" a="1"/>
  <c r="G1230" i="1" s="1"/>
  <c r="J1229" i="1" a="1"/>
  <c r="J1229" i="1" s="1"/>
  <c r="K1228" i="1" a="1"/>
  <c r="K1228" i="1" s="1"/>
  <c r="I1228" i="1" a="1"/>
  <c r="I1228" i="1" s="1"/>
  <c r="G1227" i="1" a="1"/>
  <c r="G1227" i="1" s="1"/>
  <c r="I1221" i="1" a="1"/>
  <c r="I1221" i="1" s="1"/>
  <c r="H1224" i="1" a="1"/>
  <c r="H1224" i="1" s="1"/>
  <c r="J1226" i="1" a="1"/>
  <c r="J1226" i="1" s="1"/>
  <c r="K1223" i="1" a="1"/>
  <c r="K1223" i="1" s="1"/>
  <c r="G1223" i="1" a="1"/>
  <c r="G1223" i="1" s="1"/>
  <c r="F1223" i="1" a="1"/>
  <c r="F1223" i="1" s="1"/>
  <c r="I1226" i="1" a="1"/>
  <c r="I1226" i="1" s="1"/>
  <c r="J1225" i="1" a="1"/>
  <c r="J1225" i="1" s="1"/>
  <c r="J1222" i="1" a="1"/>
  <c r="J1222" i="1" s="1"/>
  <c r="K1221" i="1" a="1"/>
  <c r="K1221" i="1" s="1"/>
  <c r="J1221" i="1" a="1"/>
  <c r="J1221" i="1" s="1"/>
  <c r="J1228" i="1" a="1"/>
  <c r="J1228" i="1" s="1"/>
  <c r="K1226" i="1" a="1"/>
  <c r="K1226" i="1" s="1"/>
  <c r="H1229" i="1" a="1"/>
  <c r="H1229" i="1" s="1"/>
  <c r="K1225" i="1" a="1"/>
  <c r="K1225" i="1" s="1"/>
  <c r="J1223" i="1" a="1"/>
  <c r="J1223" i="1" s="1"/>
  <c r="I1222" i="1" a="1"/>
  <c r="I1222" i="1" s="1"/>
  <c r="I1231" i="1" a="1"/>
  <c r="I1231" i="1" s="1"/>
  <c r="K1231" i="1" a="1"/>
  <c r="K1231" i="1" s="1"/>
  <c r="J1231" i="1" a="1"/>
  <c r="J1231" i="1" s="1"/>
  <c r="H1226" i="1" a="1"/>
  <c r="H1226" i="1" s="1"/>
  <c r="F1227" i="1" a="1"/>
  <c r="F1227" i="1" s="1"/>
  <c r="I1225" i="1" a="1"/>
  <c r="I1225" i="1" s="1"/>
  <c r="J1213" i="1" a="1"/>
  <c r="J1213" i="1" s="1"/>
  <c r="F1216" i="1" a="1"/>
  <c r="F1216" i="1" s="1"/>
  <c r="H1219" i="1" a="1"/>
  <c r="H1219" i="1" s="1"/>
  <c r="G1215" i="1" a="1"/>
  <c r="G1215" i="1" s="1"/>
  <c r="G1219" i="1" a="1"/>
  <c r="G1219" i="1" s="1"/>
  <c r="K1218" i="1" a="1"/>
  <c r="K1218" i="1" s="1"/>
  <c r="H1218" i="1" a="1"/>
  <c r="H1218" i="1" s="1"/>
  <c r="J1216" i="1" a="1"/>
  <c r="J1216" i="1" s="1"/>
  <c r="J1215" i="1" a="1"/>
  <c r="J1215" i="1" s="1"/>
  <c r="I1215" i="1" a="1"/>
  <c r="I1215" i="1" s="1"/>
  <c r="I1214" i="1" a="1"/>
  <c r="I1214" i="1" s="1"/>
  <c r="H1214" i="1" a="1"/>
  <c r="H1214" i="1" s="1"/>
  <c r="I1210" i="1" a="1"/>
  <c r="I1210" i="1" s="1"/>
  <c r="I1217" i="1" a="1"/>
  <c r="I1217" i="1" s="1"/>
  <c r="G1217" i="1" a="1"/>
  <c r="G1217" i="1" s="1"/>
  <c r="K1215" i="1" a="1"/>
  <c r="K1215" i="1" s="1"/>
  <c r="F1213" i="1" a="1"/>
  <c r="F1213" i="1" s="1"/>
  <c r="I1212" i="1" a="1"/>
  <c r="I1212" i="1" s="1"/>
  <c r="H1216" i="1" a="1"/>
  <c r="H1216" i="1" s="1"/>
  <c r="F1215" i="1" a="1"/>
  <c r="F1215" i="1" s="1"/>
  <c r="F1214" i="1" a="1"/>
  <c r="F1214" i="1" s="1"/>
  <c r="H1215" i="1" a="1"/>
  <c r="H1215" i="1" s="1"/>
  <c r="K1214" i="1" a="1"/>
  <c r="K1214" i="1" s="1"/>
  <c r="J1210" i="1" a="1"/>
  <c r="J1210" i="1" s="1"/>
  <c r="J1214" i="1" a="1"/>
  <c r="J1214" i="1" s="1"/>
  <c r="K1210" i="1" a="1"/>
  <c r="K1210" i="1" s="1"/>
  <c r="G1214" i="1" a="1"/>
  <c r="G1214" i="1" s="1"/>
  <c r="J1218" i="1" a="1"/>
  <c r="J1218" i="1" s="1"/>
  <c r="K1216" i="1" a="1"/>
  <c r="K1216" i="1" s="1"/>
  <c r="F1221" i="1" a="1"/>
  <c r="F1221" i="1" s="1"/>
  <c r="G1213" i="1" a="1"/>
  <c r="G1213" i="1" s="1"/>
  <c r="I1213" i="1" a="1"/>
  <c r="I1213" i="1" s="1"/>
  <c r="J1212" i="1" a="1"/>
  <c r="J1212" i="1" s="1"/>
  <c r="G1221" i="1" a="1"/>
  <c r="G1221" i="1" s="1"/>
  <c r="K1220" i="1" a="1"/>
  <c r="K1220" i="1" s="1"/>
  <c r="F1219" i="1" a="1"/>
  <c r="F1219" i="1" s="1"/>
  <c r="G1218" i="1" a="1"/>
  <c r="G1218" i="1" s="1"/>
  <c r="F1217" i="1" a="1"/>
  <c r="F1217" i="1" s="1"/>
  <c r="F1218" i="1" a="1"/>
  <c r="F1218" i="1" s="1"/>
  <c r="K1217" i="1" a="1"/>
  <c r="K1217" i="1" s="1"/>
  <c r="J1217" i="1" a="1"/>
  <c r="J1217" i="1" s="1"/>
  <c r="H1212" i="1" a="1"/>
  <c r="H1212" i="1" s="1"/>
  <c r="F1212" i="1" a="1"/>
  <c r="F1212" i="1" s="1"/>
  <c r="G1212" i="1" a="1"/>
  <c r="G1212" i="1" s="1"/>
  <c r="J1220" i="1" a="1"/>
  <c r="J1220" i="1" s="1"/>
  <c r="I1220" i="1" a="1"/>
  <c r="I1220" i="1" s="1"/>
  <c r="K1212" i="1" a="1"/>
  <c r="K1212" i="1" s="1"/>
  <c r="H1220" i="1" a="1"/>
  <c r="H1220" i="1" s="1"/>
  <c r="G1220" i="1" a="1"/>
  <c r="G1220" i="1" s="1"/>
  <c r="F1220" i="1" a="1"/>
  <c r="F1220" i="1" s="1"/>
  <c r="H1210" i="1" a="1"/>
  <c r="H1210" i="1" s="1"/>
  <c r="K1219" i="1" a="1"/>
  <c r="K1219" i="1" s="1"/>
  <c r="J1219" i="1" a="1"/>
  <c r="J1219" i="1" s="1"/>
  <c r="K1213" i="1" a="1"/>
  <c r="K1213" i="1" s="1"/>
  <c r="H1213" i="1" a="1"/>
  <c r="H1213" i="1" s="1"/>
  <c r="I1219" i="1" a="1"/>
  <c r="I1219" i="1" s="1"/>
  <c r="I1218" i="1" a="1"/>
  <c r="I1218" i="1" s="1"/>
  <c r="H1217" i="1" a="1"/>
  <c r="H1217" i="1" s="1"/>
  <c r="G1216" i="1" a="1"/>
  <c r="G1216" i="1" s="1"/>
  <c r="I1216" i="1" a="1"/>
  <c r="I1216" i="1" s="1"/>
  <c r="G1207" i="1" a="1"/>
  <c r="G1207" i="1" s="1"/>
  <c r="K1199" i="1" a="1"/>
  <c r="K1199" i="1" s="1"/>
  <c r="F1199" i="1" a="1"/>
  <c r="F1199" i="1" s="1"/>
  <c r="J1197" i="1" a="1"/>
  <c r="J1197" i="1" s="1"/>
  <c r="I1200" i="1" a="1"/>
  <c r="I1200" i="1" s="1"/>
  <c r="G1197" i="1" a="1"/>
  <c r="G1197" i="1" s="1"/>
  <c r="J1206" i="1" a="1"/>
  <c r="J1206" i="1" s="1"/>
  <c r="I1206" i="1" a="1"/>
  <c r="I1206" i="1" s="1"/>
  <c r="H1200" i="1" a="1"/>
  <c r="H1200" i="1" s="1"/>
  <c r="H1206" i="1" a="1"/>
  <c r="H1206" i="1" s="1"/>
  <c r="F1206" i="1" a="1"/>
  <c r="F1206" i="1" s="1"/>
  <c r="H1197" i="1" a="1"/>
  <c r="H1197" i="1" s="1"/>
  <c r="K1200" i="1" a="1"/>
  <c r="K1200" i="1" s="1"/>
  <c r="K1197" i="1" a="1"/>
  <c r="K1197" i="1" s="1"/>
  <c r="F1200" i="1" a="1"/>
  <c r="F1200" i="1" s="1"/>
  <c r="H1199" i="1" a="1"/>
  <c r="H1199" i="1" s="1"/>
  <c r="J1198" i="1" a="1"/>
  <c r="J1198" i="1" s="1"/>
  <c r="G1199" i="1" a="1"/>
  <c r="G1199" i="1" s="1"/>
  <c r="G1210" i="1" a="1"/>
  <c r="G1210" i="1" s="1"/>
  <c r="J1200" i="1" a="1"/>
  <c r="J1200" i="1" s="1"/>
  <c r="K1209" i="1" a="1"/>
  <c r="K1209" i="1" s="1"/>
  <c r="J1208" i="1" a="1"/>
  <c r="J1208" i="1" s="1"/>
  <c r="I1209" i="1" a="1"/>
  <c r="I1209" i="1" s="1"/>
  <c r="H1209" i="1" a="1"/>
  <c r="H1209" i="1" s="1"/>
  <c r="K1208" i="1" a="1"/>
  <c r="K1208" i="1" s="1"/>
  <c r="H1198" i="1" a="1"/>
  <c r="H1198" i="1" s="1"/>
  <c r="F1208" i="1" a="1"/>
  <c r="F1208" i="1" s="1"/>
  <c r="F1207" i="1" a="1"/>
  <c r="F1207" i="1" s="1"/>
  <c r="G1209" i="1" a="1"/>
  <c r="G1209" i="1" s="1"/>
  <c r="F1197" i="1" a="1"/>
  <c r="F1197" i="1" s="1"/>
  <c r="I1208" i="1" a="1"/>
  <c r="I1208" i="1" s="1"/>
  <c r="I1199" i="1" a="1"/>
  <c r="I1199" i="1" s="1"/>
  <c r="G1206" i="1" a="1"/>
  <c r="G1206" i="1" s="1"/>
  <c r="F1198" i="1" a="1"/>
  <c r="F1198" i="1" s="1"/>
  <c r="G1200" i="1" a="1"/>
  <c r="G1200" i="1" s="1"/>
  <c r="J1199" i="1" a="1"/>
  <c r="J1199" i="1" s="1"/>
  <c r="K1198" i="1" a="1"/>
  <c r="K1198" i="1" s="1"/>
  <c r="K1196" i="1" a="1"/>
  <c r="K1196" i="1" s="1"/>
  <c r="I1198" i="1" a="1"/>
  <c r="I1198" i="1" s="1"/>
  <c r="F1210" i="1" a="1"/>
  <c r="F1210" i="1" s="1"/>
  <c r="K1206" i="1" a="1"/>
  <c r="K1206" i="1" s="1"/>
  <c r="F1209" i="1" a="1"/>
  <c r="F1209" i="1" s="1"/>
  <c r="J1209" i="1" a="1"/>
  <c r="J1209" i="1" s="1"/>
  <c r="G1198" i="1" a="1"/>
  <c r="G1198" i="1" s="1"/>
  <c r="H1208" i="1" a="1"/>
  <c r="H1208" i="1" s="1"/>
  <c r="J1207" i="1" a="1"/>
  <c r="J1207" i="1" s="1"/>
  <c r="I1197" i="1" a="1"/>
  <c r="I1197" i="1" s="1"/>
  <c r="G1208" i="1" a="1"/>
  <c r="G1208" i="1" s="1"/>
  <c r="K1207" i="1" a="1"/>
  <c r="K1207" i="1" s="1"/>
  <c r="I1207" i="1" a="1"/>
  <c r="I1207" i="1" s="1"/>
  <c r="H1207" i="1" a="1"/>
  <c r="H1207" i="1" s="1"/>
  <c r="I1195" i="1" a="1"/>
  <c r="I1195" i="1" s="1"/>
  <c r="K1188" i="1" a="1"/>
  <c r="K1188" i="1" s="1"/>
  <c r="H1193" i="1" a="1"/>
  <c r="H1193" i="1" s="1"/>
  <c r="J1187" i="1" a="1"/>
  <c r="J1187" i="1" s="1"/>
  <c r="J1194" i="1" a="1"/>
  <c r="J1194" i="1" s="1"/>
  <c r="G1192" i="1" a="1"/>
  <c r="G1192" i="1" s="1"/>
  <c r="G1194" i="1" a="1"/>
  <c r="G1194" i="1" s="1"/>
  <c r="K1186" i="1" a="1"/>
  <c r="K1186" i="1" s="1"/>
  <c r="J1193" i="1" a="1"/>
  <c r="J1193" i="1" s="1"/>
  <c r="F1189" i="1" a="1"/>
  <c r="F1189" i="1" s="1"/>
  <c r="I1189" i="1" a="1"/>
  <c r="I1189" i="1" s="1"/>
  <c r="H1195" i="1" a="1"/>
  <c r="H1195" i="1" s="1"/>
  <c r="G1195" i="1" a="1"/>
  <c r="G1195" i="1" s="1"/>
  <c r="J1190" i="1" a="1"/>
  <c r="J1190" i="1" s="1"/>
  <c r="I1187" i="1" a="1"/>
  <c r="I1187" i="1" s="1"/>
  <c r="F1193" i="1" a="1"/>
  <c r="F1193" i="1" s="1"/>
  <c r="F1195" i="1" a="1"/>
  <c r="F1195" i="1" s="1"/>
  <c r="I1194" i="1" a="1"/>
  <c r="I1194" i="1" s="1"/>
  <c r="F1194" i="1" a="1"/>
  <c r="F1194" i="1" s="1"/>
  <c r="K1187" i="1" a="1"/>
  <c r="K1187" i="1" s="1"/>
  <c r="J1192" i="1" a="1"/>
  <c r="J1192" i="1" s="1"/>
  <c r="I1191" i="1" a="1"/>
  <c r="I1191" i="1" s="1"/>
  <c r="F1191" i="1" a="1"/>
  <c r="F1191" i="1" s="1"/>
  <c r="H1190" i="1" a="1"/>
  <c r="H1190" i="1" s="1"/>
  <c r="H1189" i="1" a="1"/>
  <c r="H1189" i="1" s="1"/>
  <c r="G1188" i="1" a="1"/>
  <c r="G1188" i="1" s="1"/>
  <c r="H1186" i="1" a="1"/>
  <c r="H1186" i="1" s="1"/>
  <c r="H1194" i="1" a="1"/>
  <c r="H1194" i="1" s="1"/>
  <c r="F1188" i="1" a="1"/>
  <c r="F1188" i="1" s="1"/>
  <c r="F1190" i="1" a="1"/>
  <c r="F1190" i="1" s="1"/>
  <c r="H1188" i="1" a="1"/>
  <c r="H1188" i="1" s="1"/>
  <c r="K1191" i="1" a="1"/>
  <c r="K1191" i="1" s="1"/>
  <c r="J1191" i="1" a="1"/>
  <c r="J1191" i="1" s="1"/>
  <c r="G1191" i="1" a="1"/>
  <c r="G1191" i="1" s="1"/>
  <c r="H1187" i="1" a="1"/>
  <c r="H1187" i="1" s="1"/>
  <c r="H1191" i="1" a="1"/>
  <c r="H1191" i="1" s="1"/>
  <c r="K1190" i="1" a="1"/>
  <c r="K1190" i="1" s="1"/>
  <c r="G1190" i="1" a="1"/>
  <c r="G1190" i="1" s="1"/>
  <c r="I1186" i="1" a="1"/>
  <c r="I1186" i="1" s="1"/>
  <c r="F1187" i="1" a="1"/>
  <c r="F1187" i="1" s="1"/>
  <c r="G1189" i="1" a="1"/>
  <c r="G1189" i="1" s="1"/>
  <c r="K1192" i="1" a="1"/>
  <c r="K1192" i="1" s="1"/>
  <c r="G1186" i="1" a="1"/>
  <c r="G1186" i="1" s="1"/>
  <c r="K1193" i="1" a="1"/>
  <c r="K1193" i="1" s="1"/>
  <c r="K1189" i="1" a="1"/>
  <c r="K1189" i="1" s="1"/>
  <c r="I1190" i="1" a="1"/>
  <c r="I1190" i="1" s="1"/>
  <c r="J1196" i="1" a="1"/>
  <c r="J1196" i="1" s="1"/>
  <c r="I1196" i="1" a="1"/>
  <c r="I1196" i="1" s="1"/>
  <c r="H1196" i="1" a="1"/>
  <c r="H1196" i="1" s="1"/>
  <c r="I1193" i="1" a="1"/>
  <c r="I1193" i="1" s="1"/>
  <c r="I1188" i="1" a="1"/>
  <c r="I1188" i="1" s="1"/>
  <c r="G1187" i="1" a="1"/>
  <c r="G1187" i="1" s="1"/>
  <c r="G1196" i="1" a="1"/>
  <c r="G1196" i="1" s="1"/>
  <c r="H1192" i="1" a="1"/>
  <c r="H1192" i="1" s="1"/>
  <c r="F1196" i="1" a="1"/>
  <c r="F1196" i="1" s="1"/>
  <c r="K1195" i="1" a="1"/>
  <c r="K1195" i="1" s="1"/>
  <c r="J1188" i="1" a="1"/>
  <c r="J1188" i="1" s="1"/>
  <c r="J1186" i="1" a="1"/>
  <c r="J1186" i="1" s="1"/>
  <c r="K1194" i="1" a="1"/>
  <c r="K1194" i="1" s="1"/>
  <c r="F1192" i="1" a="1"/>
  <c r="F1192" i="1" s="1"/>
  <c r="G1193" i="1" a="1"/>
  <c r="G1193" i="1" s="1"/>
  <c r="J1189" i="1" a="1"/>
  <c r="J1189" i="1" s="1"/>
  <c r="J1195" i="1" a="1"/>
  <c r="J1195" i="1" s="1"/>
  <c r="I1192" i="1" a="1"/>
  <c r="I1192" i="1" s="1"/>
  <c r="F1184" i="1" a="1"/>
  <c r="F1184" i="1" s="1"/>
  <c r="J1176" i="1" a="1"/>
  <c r="J1176" i="1" s="1"/>
  <c r="J1183" i="1" a="1"/>
  <c r="J1183" i="1" s="1"/>
  <c r="I1183" i="1" a="1"/>
  <c r="I1183" i="1" s="1"/>
  <c r="I1174" i="1" a="1"/>
  <c r="I1174" i="1" s="1"/>
  <c r="K1176" i="1" a="1"/>
  <c r="K1176" i="1" s="1"/>
  <c r="K1173" i="1" a="1"/>
  <c r="K1173" i="1" s="1"/>
  <c r="H1176" i="1" a="1"/>
  <c r="H1176" i="1" s="1"/>
  <c r="K1177" i="1" a="1"/>
  <c r="K1177" i="1" s="1"/>
  <c r="G1175" i="1" a="1"/>
  <c r="G1175" i="1" s="1"/>
  <c r="K1174" i="1" a="1"/>
  <c r="K1174" i="1" s="1"/>
  <c r="F1174" i="1" a="1"/>
  <c r="F1174" i="1" s="1"/>
  <c r="F1176" i="1" a="1"/>
  <c r="F1176" i="1" s="1"/>
  <c r="G1174" i="1" a="1"/>
  <c r="G1174" i="1" s="1"/>
  <c r="F1185" i="1" a="1"/>
  <c r="F1185" i="1" s="1"/>
  <c r="F1186" i="1" a="1"/>
  <c r="F1186" i="1" s="1"/>
  <c r="G1173" i="1" a="1"/>
  <c r="G1173" i="1" s="1"/>
  <c r="H1183" i="1" a="1"/>
  <c r="H1183" i="1" s="1"/>
  <c r="G1176" i="1" a="1"/>
  <c r="G1176" i="1" s="1"/>
  <c r="I1175" i="1" a="1"/>
  <c r="I1175" i="1" s="1"/>
  <c r="H1177" i="1" a="1"/>
  <c r="H1177" i="1" s="1"/>
  <c r="K1185" i="1" a="1"/>
  <c r="K1185" i="1" s="1"/>
  <c r="J1185" i="1" a="1"/>
  <c r="J1185" i="1" s="1"/>
  <c r="I1185" i="1" a="1"/>
  <c r="I1185" i="1" s="1"/>
  <c r="H1185" i="1" a="1"/>
  <c r="H1185" i="1" s="1"/>
  <c r="K1184" i="1" a="1"/>
  <c r="K1184" i="1" s="1"/>
  <c r="J1184" i="1" a="1"/>
  <c r="J1184" i="1" s="1"/>
  <c r="G1183" i="1" a="1"/>
  <c r="G1183" i="1" s="1"/>
  <c r="K1183" i="1" a="1"/>
  <c r="K1183" i="1" s="1"/>
  <c r="G1177" i="1" a="1"/>
  <c r="G1177" i="1" s="1"/>
  <c r="J1177" i="1" a="1"/>
  <c r="J1177" i="1" s="1"/>
  <c r="J1175" i="1" a="1"/>
  <c r="J1175" i="1" s="1"/>
  <c r="H1175" i="1" a="1"/>
  <c r="H1175" i="1" s="1"/>
  <c r="F1175" i="1" a="1"/>
  <c r="F1175" i="1" s="1"/>
  <c r="H1174" i="1" a="1"/>
  <c r="H1174" i="1" s="1"/>
  <c r="H1173" i="1" a="1"/>
  <c r="H1173" i="1" s="1"/>
  <c r="F1177" i="1" a="1"/>
  <c r="F1177" i="1" s="1"/>
  <c r="G1185" i="1" a="1"/>
  <c r="G1185" i="1" s="1"/>
  <c r="I1184" i="1" a="1"/>
  <c r="I1184" i="1" s="1"/>
  <c r="K1175" i="1" a="1"/>
  <c r="K1175" i="1" s="1"/>
  <c r="I1177" i="1" a="1"/>
  <c r="I1177" i="1" s="1"/>
  <c r="H1184" i="1" a="1"/>
  <c r="H1184" i="1" s="1"/>
  <c r="I1176" i="1" a="1"/>
  <c r="I1176" i="1" s="1"/>
  <c r="G1184" i="1" a="1"/>
  <c r="G1184" i="1" s="1"/>
  <c r="F1183" i="1" a="1"/>
  <c r="F1183" i="1" s="1"/>
  <c r="J1174" i="1" a="1"/>
  <c r="J1174" i="1" s="1"/>
  <c r="J1173" i="1" a="1"/>
  <c r="J1173" i="1" s="1"/>
  <c r="I1173" i="1" a="1"/>
  <c r="I1173" i="1" s="1"/>
  <c r="F1173" i="1" a="1"/>
  <c r="F1173" i="1" s="1"/>
  <c r="K1172" i="1" a="1"/>
  <c r="K1172" i="1" s="1"/>
  <c r="K1167" i="1" a="1"/>
  <c r="K1167" i="1" s="1"/>
  <c r="H1164" i="1" a="1"/>
  <c r="H1164" i="1" s="1"/>
  <c r="J1169" i="1" a="1"/>
  <c r="J1169" i="1" s="1"/>
  <c r="J1172" i="1" a="1"/>
  <c r="J1172" i="1" s="1"/>
  <c r="H1172" i="1" a="1"/>
  <c r="H1172" i="1" s="1"/>
  <c r="J1164" i="1" a="1"/>
  <c r="J1164" i="1" s="1"/>
  <c r="G1172" i="1" a="1"/>
  <c r="G1172" i="1" s="1"/>
  <c r="G1164" i="1" a="1"/>
  <c r="G1164" i="1" s="1"/>
  <c r="F1172" i="1" a="1"/>
  <c r="F1172" i="1" s="1"/>
  <c r="I1171" i="1" a="1"/>
  <c r="I1171" i="1" s="1"/>
  <c r="I1170" i="1" a="1"/>
  <c r="I1170" i="1" s="1"/>
  <c r="I1162" i="1" a="1"/>
  <c r="I1162" i="1" s="1"/>
  <c r="H1171" i="1" a="1"/>
  <c r="H1171" i="1" s="1"/>
  <c r="H1169" i="1" a="1"/>
  <c r="H1169" i="1" s="1"/>
  <c r="H1168" i="1" a="1"/>
  <c r="H1168" i="1" s="1"/>
  <c r="G1168" i="1" a="1"/>
  <c r="G1168" i="1" s="1"/>
  <c r="G1167" i="1" a="1"/>
  <c r="G1167" i="1" s="1"/>
  <c r="K1170" i="1" a="1"/>
  <c r="K1170" i="1" s="1"/>
  <c r="H1167" i="1" a="1"/>
  <c r="H1167" i="1" s="1"/>
  <c r="K1165" i="1" a="1"/>
  <c r="K1165" i="1" s="1"/>
  <c r="F1165" i="1" a="1"/>
  <c r="F1165" i="1" s="1"/>
  <c r="J1163" i="1" a="1"/>
  <c r="J1163" i="1" s="1"/>
  <c r="G1170" i="1" a="1"/>
  <c r="G1170" i="1" s="1"/>
  <c r="G1169" i="1" a="1"/>
  <c r="G1169" i="1" s="1"/>
  <c r="K1168" i="1" a="1"/>
  <c r="K1168" i="1" s="1"/>
  <c r="J1167" i="1" a="1"/>
  <c r="J1167" i="1" s="1"/>
  <c r="K1166" i="1" a="1"/>
  <c r="K1166" i="1" s="1"/>
  <c r="J1166" i="1" a="1"/>
  <c r="J1166" i="1" s="1"/>
  <c r="I1165" i="1" a="1"/>
  <c r="I1165" i="1" s="1"/>
  <c r="H1163" i="1" a="1"/>
  <c r="H1163" i="1" s="1"/>
  <c r="J1165" i="1" a="1"/>
  <c r="J1165" i="1" s="1"/>
  <c r="F1163" i="1" a="1"/>
  <c r="F1163" i="1" s="1"/>
  <c r="I1166" i="1" a="1"/>
  <c r="I1166" i="1" s="1"/>
  <c r="I1164" i="1" a="1"/>
  <c r="I1164" i="1" s="1"/>
  <c r="K1169" i="1" a="1"/>
  <c r="K1169" i="1" s="1"/>
  <c r="G1165" i="1" a="1"/>
  <c r="G1165" i="1" s="1"/>
  <c r="F1168" i="1" a="1"/>
  <c r="F1168" i="1" s="1"/>
  <c r="I1172" i="1" a="1"/>
  <c r="I1172" i="1" s="1"/>
  <c r="K1171" i="1" a="1"/>
  <c r="K1171" i="1" s="1"/>
  <c r="J1171" i="1" a="1"/>
  <c r="J1171" i="1" s="1"/>
  <c r="G1171" i="1" a="1"/>
  <c r="G1171" i="1" s="1"/>
  <c r="J1168" i="1" a="1"/>
  <c r="J1168" i="1" s="1"/>
  <c r="K1163" i="1" a="1"/>
  <c r="K1163" i="1" s="1"/>
  <c r="F1171" i="1" a="1"/>
  <c r="F1171" i="1" s="1"/>
  <c r="F1169" i="1" a="1"/>
  <c r="F1169" i="1" s="1"/>
  <c r="I1163" i="1" a="1"/>
  <c r="I1163" i="1" s="1"/>
  <c r="J1170" i="1" a="1"/>
  <c r="J1170" i="1" s="1"/>
  <c r="G1163" i="1" a="1"/>
  <c r="G1163" i="1" s="1"/>
  <c r="H1166" i="1" a="1"/>
  <c r="H1166" i="1" s="1"/>
  <c r="H1170" i="1" a="1"/>
  <c r="H1170" i="1" s="1"/>
  <c r="I1168" i="1" a="1"/>
  <c r="I1168" i="1" s="1"/>
  <c r="F1166" i="1" a="1"/>
  <c r="F1166" i="1" s="1"/>
  <c r="F1167" i="1" a="1"/>
  <c r="F1167" i="1" s="1"/>
  <c r="G1166" i="1" a="1"/>
  <c r="G1166" i="1" s="1"/>
  <c r="H1165" i="1" a="1"/>
  <c r="H1165" i="1" s="1"/>
  <c r="K1164" i="1" a="1"/>
  <c r="K1164" i="1" s="1"/>
  <c r="F1170" i="1" a="1"/>
  <c r="F1170" i="1" s="1"/>
  <c r="I1169" i="1" a="1"/>
  <c r="I1169" i="1" s="1"/>
  <c r="I1167" i="1" a="1"/>
  <c r="I1167" i="1" s="1"/>
  <c r="F1164" i="1" a="1"/>
  <c r="F1164" i="1" s="1"/>
  <c r="K1162" i="1" a="1"/>
  <c r="K1162" i="1" s="1"/>
  <c r="J1162" i="1" a="1"/>
  <c r="J1162" i="1" s="1"/>
  <c r="H1161" i="1" a="1"/>
  <c r="H1161" i="1" s="1"/>
  <c r="G1161" i="1" a="1"/>
  <c r="G1161" i="1" s="1"/>
  <c r="J1148" i="1" a="1"/>
  <c r="J1148" i="1" s="1"/>
  <c r="G1160" i="1" a="1"/>
  <c r="G1160" i="1" s="1"/>
  <c r="J1152" i="1" a="1"/>
  <c r="J1152" i="1" s="1"/>
  <c r="I1154" i="1" a="1"/>
  <c r="I1154" i="1" s="1"/>
  <c r="G1153" i="1" a="1"/>
  <c r="G1153" i="1" s="1"/>
  <c r="F1161" i="1" a="1"/>
  <c r="F1161" i="1" s="1"/>
  <c r="F1153" i="1" a="1"/>
  <c r="F1153" i="1" s="1"/>
  <c r="J1160" i="1" a="1"/>
  <c r="J1160" i="1" s="1"/>
  <c r="I1160" i="1" a="1"/>
  <c r="I1160" i="1" s="1"/>
  <c r="H1154" i="1" a="1"/>
  <c r="H1154" i="1" s="1"/>
  <c r="K1154" i="1" a="1"/>
  <c r="K1154" i="1" s="1"/>
  <c r="H1152" i="1" a="1"/>
  <c r="H1152" i="1" s="1"/>
  <c r="F1152" i="1" a="1"/>
  <c r="F1152" i="1" s="1"/>
  <c r="I1148" i="1" a="1"/>
  <c r="I1148" i="1" s="1"/>
  <c r="K1153" i="1" a="1"/>
  <c r="K1153" i="1" s="1"/>
  <c r="G1152" i="1" a="1"/>
  <c r="G1152" i="1" s="1"/>
  <c r="F1148" i="1" a="1"/>
  <c r="F1148" i="1" s="1"/>
  <c r="K1160" i="1" a="1"/>
  <c r="K1160" i="1" s="1"/>
  <c r="G1148" i="1" a="1"/>
  <c r="G1148" i="1" s="1"/>
  <c r="G1154" i="1" a="1"/>
  <c r="G1154" i="1" s="1"/>
  <c r="K1151" i="1" a="1"/>
  <c r="K1151" i="1" s="1"/>
  <c r="G1151" i="1" a="1"/>
  <c r="G1151" i="1" s="1"/>
  <c r="I1147" i="1" a="1"/>
  <c r="I1147" i="1" s="1"/>
  <c r="K1148" i="1" a="1"/>
  <c r="K1148" i="1" s="1"/>
  <c r="I1153" i="1" a="1"/>
  <c r="I1153" i="1" s="1"/>
  <c r="H1162" i="1" a="1"/>
  <c r="H1162" i="1" s="1"/>
  <c r="H1147" i="1" a="1"/>
  <c r="H1147" i="1" s="1"/>
  <c r="G1162" i="1" a="1"/>
  <c r="G1162" i="1" s="1"/>
  <c r="F1162" i="1" a="1"/>
  <c r="F1162" i="1" s="1"/>
  <c r="I1152" i="1" a="1"/>
  <c r="I1152" i="1" s="1"/>
  <c r="I1161" i="1" a="1"/>
  <c r="I1161" i="1" s="1"/>
  <c r="H1153" i="1" a="1"/>
  <c r="H1153" i="1" s="1"/>
  <c r="J1147" i="1" a="1"/>
  <c r="J1147" i="1" s="1"/>
  <c r="K1152" i="1" a="1"/>
  <c r="K1152" i="1" s="1"/>
  <c r="F1160" i="1" a="1"/>
  <c r="F1160" i="1" s="1"/>
  <c r="J1153" i="1" a="1"/>
  <c r="J1153" i="1" s="1"/>
  <c r="H1148" i="1" a="1"/>
  <c r="H1148" i="1" s="1"/>
  <c r="H1151" i="1" a="1"/>
  <c r="H1151" i="1" s="1"/>
  <c r="K1147" i="1" a="1"/>
  <c r="K1147" i="1" s="1"/>
  <c r="J1154" i="1" a="1"/>
  <c r="J1154" i="1" s="1"/>
  <c r="F1151" i="1" a="1"/>
  <c r="F1151" i="1" s="1"/>
  <c r="H1160" i="1" a="1"/>
  <c r="H1160" i="1" s="1"/>
  <c r="K1161" i="1" a="1"/>
  <c r="K1161" i="1" s="1"/>
  <c r="F1154" i="1" a="1"/>
  <c r="F1154" i="1" s="1"/>
  <c r="J1161" i="1" a="1"/>
  <c r="J1161" i="1" s="1"/>
  <c r="J1151" i="1" a="1"/>
  <c r="J1151" i="1" s="1"/>
  <c r="I1151" i="1" a="1"/>
  <c r="I1151" i="1" s="1"/>
  <c r="F1143" i="1" a="1"/>
  <c r="F1143" i="1" s="1"/>
  <c r="J1142" i="1" a="1"/>
  <c r="J1142" i="1" s="1"/>
  <c r="K1138" i="1" a="1"/>
  <c r="K1138" i="1" s="1"/>
  <c r="I1146" i="1" a="1"/>
  <c r="I1146" i="1" s="1"/>
  <c r="H1146" i="1" a="1"/>
  <c r="H1146" i="1" s="1"/>
  <c r="G1146" i="1" a="1"/>
  <c r="G1146" i="1" s="1"/>
  <c r="F1146" i="1" a="1"/>
  <c r="F1146" i="1" s="1"/>
  <c r="K1145" i="1" a="1"/>
  <c r="K1145" i="1" s="1"/>
  <c r="H1141" i="1" a="1"/>
  <c r="H1141" i="1" s="1"/>
  <c r="J1145" i="1" a="1"/>
  <c r="J1145" i="1" s="1"/>
  <c r="J1139" i="1" a="1"/>
  <c r="J1139" i="1" s="1"/>
  <c r="I1140" i="1" a="1"/>
  <c r="I1140" i="1" s="1"/>
  <c r="G1139" i="1" a="1"/>
  <c r="G1139" i="1" s="1"/>
  <c r="J1138" i="1" a="1"/>
  <c r="J1138" i="1" s="1"/>
  <c r="I1141" i="1" a="1"/>
  <c r="I1141" i="1" s="1"/>
  <c r="J1143" i="1" a="1"/>
  <c r="J1143" i="1" s="1"/>
  <c r="I1138" i="1" a="1"/>
  <c r="I1138" i="1" s="1"/>
  <c r="I1145" i="1" a="1"/>
  <c r="I1145" i="1" s="1"/>
  <c r="H1145" i="1" a="1"/>
  <c r="H1145" i="1" s="1"/>
  <c r="H1143" i="1" a="1"/>
  <c r="H1143" i="1" s="1"/>
  <c r="F1137" i="1" a="1"/>
  <c r="F1137" i="1" s="1"/>
  <c r="G1145" i="1" a="1"/>
  <c r="G1145" i="1" s="1"/>
  <c r="G1142" i="1" a="1"/>
  <c r="G1142" i="1" s="1"/>
  <c r="F1145" i="1" a="1"/>
  <c r="F1145" i="1" s="1"/>
  <c r="K1144" i="1" a="1"/>
  <c r="K1144" i="1" s="1"/>
  <c r="K1143" i="1" a="1"/>
  <c r="K1143" i="1" s="1"/>
  <c r="I1139" i="1" a="1"/>
  <c r="I1139" i="1" s="1"/>
  <c r="I1143" i="1" a="1"/>
  <c r="I1143" i="1" s="1"/>
  <c r="F1142" i="1" a="1"/>
  <c r="F1142" i="1" s="1"/>
  <c r="H1138" i="1" a="1"/>
  <c r="H1138" i="1" s="1"/>
  <c r="H1137" i="1" a="1"/>
  <c r="H1137" i="1" s="1"/>
  <c r="I1144" i="1" a="1"/>
  <c r="I1144" i="1" s="1"/>
  <c r="H1142" i="1" a="1"/>
  <c r="H1142" i="1" s="1"/>
  <c r="F1139" i="1" a="1"/>
  <c r="F1139" i="1" s="1"/>
  <c r="K1137" i="1" a="1"/>
  <c r="K1137" i="1" s="1"/>
  <c r="J1141" i="1" a="1"/>
  <c r="J1141" i="1" s="1"/>
  <c r="G1141" i="1" a="1"/>
  <c r="G1141" i="1" s="1"/>
  <c r="G1143" i="1" a="1"/>
  <c r="G1143" i="1" s="1"/>
  <c r="H1144" i="1" a="1"/>
  <c r="H1144" i="1" s="1"/>
  <c r="F1138" i="1" a="1"/>
  <c r="F1138" i="1" s="1"/>
  <c r="K1142" i="1" a="1"/>
  <c r="K1142" i="1" s="1"/>
  <c r="I1142" i="1" a="1"/>
  <c r="I1142" i="1" s="1"/>
  <c r="J1137" i="1" a="1"/>
  <c r="J1137" i="1" s="1"/>
  <c r="K1140" i="1" a="1"/>
  <c r="K1140" i="1" s="1"/>
  <c r="G1138" i="1" a="1"/>
  <c r="G1138" i="1" s="1"/>
  <c r="K1139" i="1" a="1"/>
  <c r="K1139" i="1" s="1"/>
  <c r="G1147" i="1" a="1"/>
  <c r="G1147" i="1" s="1"/>
  <c r="K1141" i="1" a="1"/>
  <c r="K1141" i="1" s="1"/>
  <c r="F1147" i="1" a="1"/>
  <c r="F1147" i="1" s="1"/>
  <c r="F1141" i="1" a="1"/>
  <c r="F1141" i="1" s="1"/>
  <c r="G1137" i="1" a="1"/>
  <c r="G1137" i="1" s="1"/>
  <c r="K1146" i="1" a="1"/>
  <c r="K1146" i="1" s="1"/>
  <c r="J1146" i="1" a="1"/>
  <c r="J1146" i="1" s="1"/>
  <c r="J1144" i="1" a="1"/>
  <c r="J1144" i="1" s="1"/>
  <c r="I1137" i="1" a="1"/>
  <c r="I1137" i="1" s="1"/>
  <c r="J1140" i="1" a="1"/>
  <c r="J1140" i="1" s="1"/>
  <c r="G1144" i="1" a="1"/>
  <c r="G1144" i="1" s="1"/>
  <c r="F1144" i="1" a="1"/>
  <c r="F1144" i="1" s="1"/>
  <c r="H1140" i="1" a="1"/>
  <c r="H1140" i="1" s="1"/>
  <c r="F1140" i="1" a="1"/>
  <c r="F1140" i="1" s="1"/>
  <c r="H1139" i="1" a="1"/>
  <c r="H1139" i="1" s="1"/>
  <c r="G1140" i="1" a="1"/>
  <c r="G1140" i="1" s="1"/>
  <c r="K1136" i="1" a="1"/>
  <c r="K1136" i="1" s="1"/>
  <c r="J1136" i="1" a="1"/>
  <c r="J1136" i="1" s="1"/>
  <c r="I1136" i="1" a="1"/>
  <c r="I1136" i="1" s="1"/>
  <c r="H1136" i="1" a="1"/>
  <c r="H1136" i="1" s="1"/>
  <c r="G1136" i="1" a="1"/>
  <c r="G1136" i="1" s="1"/>
  <c r="F1136" i="1" a="1"/>
  <c r="F1136" i="1" s="1"/>
  <c r="K1080" i="1"/>
  <c r="J1080" i="1"/>
  <c r="I1080" i="1"/>
  <c r="H1080" i="1"/>
  <c r="G1080" i="1"/>
  <c r="F1080" i="1"/>
  <c r="K1079" i="1"/>
  <c r="K1105" i="1" s="1"/>
  <c r="J1079" i="1"/>
  <c r="J1105" i="1" s="1"/>
  <c r="I1079" i="1"/>
  <c r="I1105" i="1" s="1"/>
  <c r="H1079" i="1"/>
  <c r="H1105" i="1" s="1"/>
  <c r="G1079" i="1"/>
  <c r="G1105" i="1" s="1"/>
  <c r="F1079" i="1"/>
  <c r="F1105" i="1" s="1"/>
  <c r="K1078" i="1"/>
  <c r="K1104" i="1" s="1"/>
  <c r="J1078" i="1"/>
  <c r="J1104" i="1" s="1"/>
  <c r="I1078" i="1"/>
  <c r="I1104" i="1" s="1"/>
  <c r="H1078" i="1"/>
  <c r="H1104" i="1" s="1"/>
  <c r="G1078" i="1"/>
  <c r="G1104" i="1" s="1"/>
  <c r="F1078" i="1"/>
  <c r="F1104" i="1" s="1"/>
  <c r="K1076" i="1"/>
  <c r="K1102" i="1" s="1"/>
  <c r="J1076" i="1"/>
  <c r="J1102" i="1" s="1"/>
  <c r="I1076" i="1"/>
  <c r="I1102" i="1" s="1"/>
  <c r="H1076" i="1"/>
  <c r="H1102" i="1" s="1"/>
  <c r="G1076" i="1"/>
  <c r="G1102" i="1" s="1"/>
  <c r="F1076" i="1"/>
  <c r="F1102" i="1" s="1"/>
  <c r="K1074" i="1"/>
  <c r="K1100" i="1" s="1"/>
  <c r="J1074" i="1"/>
  <c r="J1100" i="1" s="1"/>
  <c r="I1074" i="1"/>
  <c r="I1100" i="1" s="1"/>
  <c r="H1074" i="1"/>
  <c r="H1100" i="1" s="1"/>
  <c r="G1074" i="1"/>
  <c r="G1100" i="1" s="1"/>
  <c r="F1074" i="1"/>
  <c r="F1100" i="1" s="1"/>
  <c r="K1072" i="1"/>
  <c r="K1098" i="1" s="1"/>
  <c r="J1072" i="1"/>
  <c r="J1098" i="1" s="1"/>
  <c r="I1072" i="1"/>
  <c r="I1098" i="1" s="1"/>
  <c r="H1072" i="1"/>
  <c r="H1098" i="1" s="1"/>
  <c r="G1072" i="1"/>
  <c r="G1098" i="1" s="1"/>
  <c r="F1072" i="1"/>
  <c r="F1098" i="1" s="1"/>
  <c r="K1066" i="1"/>
  <c r="K1092" i="1" s="1"/>
  <c r="J1066" i="1"/>
  <c r="J1092" i="1" s="1"/>
  <c r="I1066" i="1"/>
  <c r="I1092" i="1" s="1"/>
  <c r="H1066" i="1"/>
  <c r="H1092" i="1" s="1"/>
  <c r="G1066" i="1"/>
  <c r="G1092" i="1" s="1"/>
  <c r="F1066" i="1"/>
  <c r="F1092" i="1" s="1"/>
  <c r="K1065" i="1"/>
  <c r="J1065" i="1"/>
  <c r="I1065" i="1"/>
  <c r="H1065" i="1"/>
  <c r="G1065" i="1"/>
  <c r="F1065" i="1"/>
  <c r="K1064" i="1"/>
  <c r="J1064" i="1"/>
  <c r="I1064" i="1"/>
  <c r="H1064" i="1"/>
  <c r="G1064" i="1"/>
  <c r="F1064" i="1"/>
  <c r="K1062" i="1"/>
  <c r="K1088" i="1" s="1"/>
  <c r="J1062" i="1"/>
  <c r="J1088" i="1" s="1"/>
  <c r="I1062" i="1"/>
  <c r="I1088" i="1" s="1"/>
  <c r="H1062" i="1"/>
  <c r="H1088" i="1" s="1"/>
  <c r="G1062" i="1"/>
  <c r="G1088" i="1" s="1"/>
  <c r="F1062" i="1"/>
  <c r="F1088" i="1" s="1"/>
  <c r="K1061" i="1"/>
  <c r="K1087" i="1" s="1"/>
  <c r="J1061" i="1"/>
  <c r="J1087" i="1" s="1"/>
  <c r="I1061" i="1"/>
  <c r="I1087" i="1" s="1"/>
  <c r="H1061" i="1"/>
  <c r="H1087" i="1" s="1"/>
  <c r="G1061" i="1"/>
  <c r="G1087" i="1" s="1"/>
  <c r="F1061" i="1"/>
  <c r="F1087" i="1" s="1"/>
  <c r="K1059" i="1"/>
  <c r="K1085" i="1" s="1"/>
  <c r="J1059" i="1"/>
  <c r="J1085" i="1" s="1"/>
  <c r="I1059" i="1"/>
  <c r="I1085" i="1" s="1"/>
  <c r="H1059" i="1"/>
  <c r="H1085" i="1" s="1"/>
  <c r="G1059" i="1"/>
  <c r="G1085" i="1" s="1"/>
  <c r="F1059" i="1"/>
  <c r="F1085" i="1" s="1"/>
  <c r="K1057" i="1"/>
  <c r="K1083" i="1" s="1"/>
  <c r="J1057" i="1"/>
  <c r="J1083" i="1" s="1"/>
  <c r="I1057" i="1"/>
  <c r="I1083" i="1" s="1"/>
  <c r="H1057" i="1"/>
  <c r="H1083" i="1" s="1"/>
  <c r="G1057" i="1"/>
  <c r="G1083" i="1" s="1"/>
  <c r="F1057" i="1"/>
  <c r="F1083" i="1" s="1"/>
  <c r="K1056" i="1"/>
  <c r="K1082" i="1" s="1"/>
  <c r="J1056" i="1"/>
  <c r="J1082" i="1" s="1"/>
  <c r="I1056" i="1"/>
  <c r="I1082" i="1" s="1"/>
  <c r="H1056" i="1"/>
  <c r="H1082" i="1" s="1"/>
  <c r="G1056" i="1"/>
  <c r="G1082" i="1" s="1"/>
  <c r="F1056" i="1"/>
  <c r="F1082" i="1" s="1"/>
  <c r="K1054" i="1"/>
  <c r="J1054" i="1"/>
  <c r="I1054" i="1"/>
  <c r="H1054" i="1"/>
  <c r="G1054" i="1"/>
  <c r="F1054" i="1"/>
  <c r="K1053" i="1"/>
  <c r="J1053" i="1"/>
  <c r="I1053" i="1"/>
  <c r="H1053" i="1"/>
  <c r="G1053" i="1"/>
  <c r="F1053" i="1"/>
  <c r="K1046" i="1"/>
  <c r="J1046" i="1"/>
  <c r="I1046" i="1"/>
  <c r="H1046" i="1"/>
  <c r="G1046" i="1"/>
  <c r="F1046" i="1"/>
  <c r="K1040" i="1"/>
  <c r="J1040" i="1"/>
  <c r="I1040" i="1"/>
  <c r="H1040" i="1"/>
  <c r="G1040" i="1"/>
  <c r="F1040" i="1"/>
  <c r="K1033" i="1"/>
  <c r="J1033" i="1"/>
  <c r="I1033" i="1"/>
  <c r="H1033" i="1"/>
  <c r="G1033" i="1"/>
  <c r="F1033" i="1"/>
  <c r="K1028" i="1"/>
  <c r="J1028" i="1"/>
  <c r="I1028" i="1"/>
  <c r="H1028" i="1"/>
  <c r="G1028" i="1"/>
  <c r="F1028" i="1"/>
  <c r="K1013" i="1"/>
  <c r="J1013" i="1"/>
  <c r="I1013" i="1"/>
  <c r="H1013" i="1"/>
  <c r="G1013" i="1"/>
  <c r="F1013" i="1"/>
  <c r="K994" i="1"/>
  <c r="J994" i="1"/>
  <c r="I994" i="1"/>
  <c r="H994" i="1"/>
  <c r="G994" i="1"/>
  <c r="F994" i="1"/>
  <c r="K993" i="1"/>
  <c r="J993" i="1"/>
  <c r="I993" i="1"/>
  <c r="H993" i="1"/>
  <c r="G993" i="1"/>
  <c r="F993" i="1"/>
  <c r="K981" i="1"/>
  <c r="J981" i="1"/>
  <c r="I981" i="1"/>
  <c r="H981" i="1"/>
  <c r="G981" i="1"/>
  <c r="F981" i="1"/>
  <c r="K980" i="1"/>
  <c r="J980" i="1"/>
  <c r="I980" i="1"/>
  <c r="H980" i="1"/>
  <c r="G980" i="1"/>
  <c r="F980" i="1"/>
  <c r="K979" i="1"/>
  <c r="J979" i="1"/>
  <c r="I979" i="1"/>
  <c r="H979" i="1"/>
  <c r="G979" i="1"/>
  <c r="F979" i="1"/>
  <c r="K978" i="1"/>
  <c r="J978" i="1"/>
  <c r="I978" i="1"/>
  <c r="H978" i="1"/>
  <c r="G978" i="1"/>
  <c r="F978" i="1"/>
  <c r="K971" i="1"/>
  <c r="J971" i="1"/>
  <c r="I971" i="1"/>
  <c r="H971" i="1"/>
  <c r="G971" i="1"/>
  <c r="F971" i="1"/>
  <c r="K970" i="1"/>
  <c r="J970" i="1"/>
  <c r="I970" i="1"/>
  <c r="H970" i="1"/>
  <c r="G970" i="1"/>
  <c r="F970" i="1"/>
  <c r="K951" i="1"/>
  <c r="J951" i="1"/>
  <c r="I951" i="1"/>
  <c r="H951" i="1"/>
  <c r="G951" i="1"/>
  <c r="F951" i="1"/>
  <c r="K950" i="1"/>
  <c r="J950" i="1"/>
  <c r="I950" i="1"/>
  <c r="H950" i="1"/>
  <c r="G950" i="1"/>
  <c r="F950" i="1"/>
  <c r="K948" i="1"/>
  <c r="J948" i="1"/>
  <c r="I948" i="1"/>
  <c r="H948" i="1"/>
  <c r="G948" i="1"/>
  <c r="F948" i="1"/>
  <c r="K946" i="1"/>
  <c r="J946" i="1"/>
  <c r="I946" i="1"/>
  <c r="H946" i="1"/>
  <c r="G946" i="1"/>
  <c r="F946" i="1"/>
  <c r="K944" i="1"/>
  <c r="J944" i="1"/>
  <c r="I944" i="1"/>
  <c r="H944" i="1"/>
  <c r="G944" i="1"/>
  <c r="F944" i="1"/>
  <c r="K942" i="1"/>
  <c r="J942" i="1"/>
  <c r="I942" i="1"/>
  <c r="H942" i="1"/>
  <c r="G942" i="1"/>
  <c r="F942" i="1"/>
  <c r="K936" i="1"/>
  <c r="J936" i="1"/>
  <c r="I936" i="1"/>
  <c r="H936" i="1"/>
  <c r="G936" i="1"/>
  <c r="F936" i="1"/>
  <c r="K934" i="1"/>
  <c r="J934" i="1"/>
  <c r="I934" i="1"/>
  <c r="H934" i="1"/>
  <c r="G934" i="1"/>
  <c r="F934" i="1"/>
  <c r="K933" i="1"/>
  <c r="J933" i="1"/>
  <c r="I933" i="1"/>
  <c r="H933" i="1"/>
  <c r="G933" i="1"/>
  <c r="F933" i="1"/>
  <c r="K932" i="1"/>
  <c r="J932" i="1"/>
  <c r="I932" i="1"/>
  <c r="H932" i="1"/>
  <c r="G932" i="1"/>
  <c r="F932" i="1"/>
  <c r="K930" i="1"/>
  <c r="J930" i="1"/>
  <c r="I930" i="1"/>
  <c r="H930" i="1"/>
  <c r="G930" i="1"/>
  <c r="F930" i="1"/>
  <c r="K928" i="1"/>
  <c r="J928" i="1"/>
  <c r="I928" i="1"/>
  <c r="H928" i="1"/>
  <c r="G928" i="1"/>
  <c r="F928" i="1"/>
  <c r="K927" i="1"/>
  <c r="J927" i="1"/>
  <c r="I927" i="1"/>
  <c r="H927" i="1"/>
  <c r="G927" i="1"/>
  <c r="F927" i="1"/>
  <c r="K924" i="1"/>
  <c r="J924" i="1"/>
  <c r="I924" i="1"/>
  <c r="H924" i="1"/>
  <c r="G924" i="1"/>
  <c r="F924" i="1"/>
  <c r="K920" i="1"/>
  <c r="J920" i="1"/>
  <c r="I920" i="1"/>
  <c r="H920" i="1"/>
  <c r="G920" i="1"/>
  <c r="F920" i="1"/>
  <c r="K917" i="1"/>
  <c r="J917" i="1"/>
  <c r="I917" i="1"/>
  <c r="H917" i="1"/>
  <c r="G917" i="1"/>
  <c r="F917" i="1"/>
  <c r="K916" i="1"/>
  <c r="J916" i="1"/>
  <c r="I916" i="1"/>
  <c r="H916" i="1"/>
  <c r="G916" i="1"/>
  <c r="F916" i="1"/>
  <c r="K904" i="1"/>
  <c r="J904" i="1"/>
  <c r="I904" i="1"/>
  <c r="H904" i="1"/>
  <c r="G904" i="1"/>
  <c r="F904" i="1"/>
  <c r="K903" i="1"/>
  <c r="J903" i="1"/>
  <c r="I903" i="1"/>
  <c r="H903" i="1"/>
  <c r="G903" i="1"/>
  <c r="F903" i="1"/>
  <c r="K902" i="1"/>
  <c r="K899" i="1" s="1"/>
  <c r="J902" i="1"/>
  <c r="J899" i="1" s="1"/>
  <c r="I902" i="1"/>
  <c r="H902" i="1"/>
  <c r="G902" i="1"/>
  <c r="G899" i="1" s="1"/>
  <c r="F902" i="1"/>
  <c r="I899" i="1"/>
  <c r="H899" i="1"/>
  <c r="F899" i="1"/>
  <c r="K896" i="1"/>
  <c r="J896" i="1"/>
  <c r="I896" i="1"/>
  <c r="H896" i="1"/>
  <c r="G896" i="1"/>
  <c r="F896" i="1"/>
  <c r="K895" i="1"/>
  <c r="J895" i="1"/>
  <c r="I895" i="1"/>
  <c r="H895" i="1"/>
  <c r="G895" i="1"/>
  <c r="F895" i="1"/>
  <c r="K893" i="1"/>
  <c r="J893" i="1"/>
  <c r="I893" i="1"/>
  <c r="H893" i="1"/>
  <c r="G893" i="1"/>
  <c r="K891" i="1"/>
  <c r="J891" i="1"/>
  <c r="I891" i="1"/>
  <c r="H891" i="1"/>
  <c r="G891" i="1"/>
  <c r="F891" i="1"/>
  <c r="K888" i="1"/>
  <c r="J888" i="1"/>
  <c r="I888" i="1"/>
  <c r="H888" i="1"/>
  <c r="G888" i="1"/>
  <c r="F888" i="1"/>
  <c r="K884" i="1"/>
  <c r="J884" i="1"/>
  <c r="I884" i="1"/>
  <c r="H884" i="1"/>
  <c r="G884" i="1"/>
  <c r="F884" i="1"/>
  <c r="K881" i="1"/>
  <c r="J881" i="1"/>
  <c r="I881" i="1"/>
  <c r="H881" i="1"/>
  <c r="G881" i="1"/>
  <c r="F881" i="1"/>
  <c r="J1891" i="1" a="1"/>
  <c r="J1891" i="1" s="1"/>
  <c r="K1893" i="1" a="1"/>
  <c r="K1893" i="1" s="1"/>
  <c r="J1888" i="1" a="1"/>
  <c r="J1888" i="1" s="1"/>
  <c r="G1893" i="1" a="1"/>
  <c r="G1893" i="1" s="1"/>
  <c r="G1888" i="1" a="1"/>
  <c r="G1888" i="1"/>
  <c r="J1895" i="1" a="1"/>
  <c r="J1895" i="1" s="1"/>
  <c r="G1897" i="1" a="1"/>
  <c r="G1897" i="1" s="1"/>
  <c r="H1888" i="1" a="1"/>
  <c r="H1888" i="1" s="1"/>
  <c r="K1897" i="1" a="1"/>
  <c r="K1897" i="1" s="1"/>
  <c r="F1891" i="1" a="1"/>
  <c r="F1891" i="1" s="1"/>
  <c r="I1888" i="1" a="1"/>
  <c r="I1888" i="1"/>
  <c r="F1887" i="1" a="1"/>
  <c r="F1887" i="1"/>
  <c r="J1897" i="1" a="1"/>
  <c r="J1897" i="1"/>
  <c r="I1897" i="1" a="1"/>
  <c r="I1897" i="1"/>
  <c r="I1893" i="1" a="1"/>
  <c r="I1893" i="1"/>
  <c r="I1889" i="1" a="1"/>
  <c r="I1889" i="1"/>
  <c r="J1887" i="1" a="1"/>
  <c r="J1887" i="1"/>
  <c r="K1887" i="1" a="1"/>
  <c r="K1887" i="1"/>
  <c r="G1889" i="1" a="1"/>
  <c r="G1889" i="1" s="1"/>
  <c r="H1897" i="1" a="1"/>
  <c r="H1897" i="1" s="1"/>
  <c r="I1887" i="1" a="1"/>
  <c r="I1887" i="1"/>
  <c r="H1891" i="1" a="1"/>
  <c r="H1891" i="1" s="1"/>
  <c r="I1891" i="1" a="1"/>
  <c r="I1891" i="1" s="1"/>
  <c r="K1895" i="1" a="1"/>
  <c r="K1895" i="1" s="1"/>
  <c r="K1891" i="1" a="1"/>
  <c r="K1891" i="1" s="1"/>
  <c r="G1895" i="1" a="1"/>
  <c r="G1895" i="1" s="1"/>
  <c r="H1893" i="1" a="1"/>
  <c r="H1893" i="1" s="1"/>
  <c r="H1889" i="1" a="1"/>
  <c r="H1889" i="1" s="1"/>
  <c r="G1887" i="1" a="1"/>
  <c r="G1887" i="1" s="1"/>
  <c r="F1897" i="1" a="1"/>
  <c r="F1897" i="1" s="1"/>
  <c r="I1895" i="1" a="1"/>
  <c r="I1895" i="1" s="1"/>
  <c r="G1891" i="1" a="1"/>
  <c r="G1891" i="1"/>
  <c r="K1888" i="1" a="1"/>
  <c r="K1888" i="1" s="1"/>
  <c r="F1888" i="1" a="1"/>
  <c r="F1888" i="1" s="1"/>
  <c r="F1895" i="1" a="1"/>
  <c r="F1895" i="1" s="1"/>
  <c r="J1893" i="1" a="1"/>
  <c r="J1893" i="1"/>
  <c r="F1893" i="1" a="1"/>
  <c r="F1893" i="1" s="1"/>
  <c r="F1889" i="1" a="1"/>
  <c r="F1889" i="1"/>
  <c r="H1887" i="1" a="1"/>
  <c r="H1887" i="1" s="1"/>
  <c r="J1889" i="1" a="1"/>
  <c r="J1889" i="1" s="1"/>
  <c r="K1889" i="1" a="1"/>
  <c r="K1889" i="1" s="1"/>
  <c r="H1895" i="1" a="1"/>
  <c r="H1895" i="1" s="1"/>
  <c r="K1871" i="1" a="1"/>
  <c r="K1871" i="1" s="1"/>
  <c r="G1871" i="1" a="1"/>
  <c r="G1871" i="1" s="1"/>
  <c r="G1885" i="1" a="1"/>
  <c r="G1885" i="1" s="1"/>
  <c r="H1882" i="1" a="1"/>
  <c r="H1882" i="1" s="1"/>
  <c r="F1882" i="1" a="1"/>
  <c r="F1882" i="1" s="1"/>
  <c r="I1879" i="1" a="1"/>
  <c r="I1879" i="1" s="1"/>
  <c r="J1875" i="1" a="1"/>
  <c r="J1875" i="1" s="1"/>
  <c r="K1875" i="1" a="1"/>
  <c r="K1875" i="1" s="1"/>
  <c r="H1873" i="1" a="1"/>
  <c r="H1873" i="1" s="1"/>
  <c r="J1877" i="1" a="1"/>
  <c r="J1877" i="1" s="1"/>
  <c r="F1871" i="1" a="1"/>
  <c r="F1871" i="1" s="1"/>
  <c r="H1877" i="1" a="1"/>
  <c r="H1877" i="1" s="1"/>
  <c r="I1885" i="1" a="1"/>
  <c r="I1885" i="1" s="1"/>
  <c r="H1885" i="1" a="1"/>
  <c r="H1885" i="1" s="1"/>
  <c r="J1883" i="1" a="1"/>
  <c r="J1883" i="1" s="1"/>
  <c r="H1883" i="1" a="1"/>
  <c r="H1883" i="1" s="1"/>
  <c r="K1882" i="1" a="1"/>
  <c r="K1882" i="1" s="1"/>
  <c r="G1873" i="1" a="1"/>
  <c r="G1873" i="1" s="1"/>
  <c r="J1882" i="1" a="1"/>
  <c r="J1882" i="1" s="1"/>
  <c r="H1879" i="1" a="1"/>
  <c r="H1879" i="1" s="1"/>
  <c r="I1873" i="1" a="1"/>
  <c r="I1873" i="1" s="1"/>
  <c r="H1871" i="1" a="1"/>
  <c r="H1871" i="1" s="1"/>
  <c r="F1877" i="1" a="1"/>
  <c r="F1877" i="1" s="1"/>
  <c r="K1879" i="1" a="1"/>
  <c r="K1879" i="1" s="1"/>
  <c r="F1875" i="1" a="1"/>
  <c r="F1875" i="1" s="1"/>
  <c r="K1873" i="1" a="1"/>
  <c r="K1873" i="1" s="1"/>
  <c r="I1875" i="1" a="1"/>
  <c r="I1875" i="1" s="1"/>
  <c r="F1873" i="1" a="1"/>
  <c r="F1873" i="1"/>
  <c r="F1883" i="1" a="1"/>
  <c r="F1883" i="1" s="1"/>
  <c r="G1875" i="1" a="1"/>
  <c r="G1875" i="1" s="1"/>
  <c r="K1877" i="1" a="1"/>
  <c r="K1877" i="1" s="1"/>
  <c r="G1879" i="1" a="1"/>
  <c r="G1879" i="1" s="1"/>
  <c r="I1877" i="1" a="1"/>
  <c r="I1877" i="1" s="1"/>
  <c r="F1885" i="1" a="1"/>
  <c r="F1885" i="1" s="1"/>
  <c r="J1885" i="1" a="1"/>
  <c r="J1885" i="1" s="1"/>
  <c r="K1885" i="1" a="1"/>
  <c r="K1885" i="1" s="1"/>
  <c r="I1883" i="1" a="1"/>
  <c r="I1883" i="1" s="1"/>
  <c r="H1875" i="1" a="1"/>
  <c r="H1875" i="1" s="1"/>
  <c r="K1883" i="1" a="1"/>
  <c r="K1883" i="1" s="1"/>
  <c r="G1883" i="1" a="1"/>
  <c r="G1883" i="1" s="1"/>
  <c r="G1882" i="1" a="1"/>
  <c r="G1882" i="1" s="1"/>
  <c r="J1879" i="1" a="1"/>
  <c r="J1879" i="1" s="1"/>
  <c r="G1877" i="1" a="1"/>
  <c r="G1877" i="1" s="1"/>
  <c r="J1871" i="1" a="1"/>
  <c r="J1871" i="1" s="1"/>
  <c r="I1871" i="1" a="1"/>
  <c r="I1871" i="1" s="1"/>
  <c r="J1873" i="1" a="1"/>
  <c r="J1873" i="1" s="1"/>
  <c r="F1879" i="1" a="1"/>
  <c r="F1879" i="1" s="1"/>
  <c r="I1882" i="1" a="1"/>
  <c r="I1882" i="1" s="1"/>
  <c r="F1859" i="1" a="1"/>
  <c r="F1859" i="1" s="1"/>
  <c r="I1856" i="1" a="1"/>
  <c r="I1856" i="1" s="1"/>
  <c r="G1856" i="1" a="1"/>
  <c r="G1856" i="1" s="1"/>
  <c r="I1859" i="1" a="1"/>
  <c r="I1859" i="1" s="1"/>
  <c r="G1867" i="1" a="1"/>
  <c r="G1867" i="1" s="1"/>
  <c r="K1866" i="1" a="1"/>
  <c r="K1866" i="1" s="1"/>
  <c r="G1859" i="1" a="1"/>
  <c r="G1859" i="1" s="1"/>
  <c r="H1856" i="1" a="1"/>
  <c r="H1856" i="1" s="1"/>
  <c r="J1867" i="1" a="1"/>
  <c r="J1867" i="1" s="1"/>
  <c r="H1867" i="1" a="1"/>
  <c r="H1867" i="1" s="1"/>
  <c r="F1867" i="1" a="1"/>
  <c r="F1867" i="1" s="1"/>
  <c r="J1866" i="1" a="1"/>
  <c r="J1866" i="1" s="1"/>
  <c r="K1865" i="1" a="1"/>
  <c r="K1865" i="1" s="1"/>
  <c r="F1860" i="1" a="1"/>
  <c r="F1860" i="1" s="1"/>
  <c r="F1865" i="1" a="1"/>
  <c r="F1865" i="1" s="1"/>
  <c r="I1865" i="1" a="1"/>
  <c r="I1865" i="1" s="1"/>
  <c r="F1863" i="1" a="1"/>
  <c r="F1863" i="1" s="1"/>
  <c r="G1860" i="1" a="1"/>
  <c r="G1860" i="1" s="1"/>
  <c r="K1859" i="1" a="1"/>
  <c r="K1859" i="1" s="1"/>
  <c r="J1865" i="1" a="1"/>
  <c r="J1865" i="1" s="1"/>
  <c r="G1863" i="1" a="1"/>
  <c r="G1863" i="1" s="1"/>
  <c r="F1862" i="1" a="1"/>
  <c r="F1862" i="1" s="1"/>
  <c r="H1859" i="1" a="1"/>
  <c r="H1859" i="1" s="1"/>
  <c r="H1865" i="1" a="1"/>
  <c r="H1865" i="1" s="1"/>
  <c r="I1862" i="1" a="1"/>
  <c r="I1862" i="1" s="1"/>
  <c r="H1869" i="1" a="1"/>
  <c r="H1869" i="1" s="1"/>
  <c r="F1866" i="1" a="1"/>
  <c r="F1866" i="1" s="1"/>
  <c r="K1862" i="1" a="1"/>
  <c r="K1862" i="1" s="1"/>
  <c r="H1862" i="1" a="1"/>
  <c r="H1862" i="1" s="1"/>
  <c r="H1863" i="1" a="1"/>
  <c r="H1863" i="1" s="1"/>
  <c r="I1863" i="1" a="1"/>
  <c r="I1863" i="1" s="1"/>
  <c r="J1859" i="1" a="1"/>
  <c r="J1859" i="1" s="1"/>
  <c r="G1866" i="1" a="1"/>
  <c r="G1866" i="1" s="1"/>
  <c r="K1860" i="1" a="1"/>
  <c r="K1860" i="1" s="1"/>
  <c r="K1856" i="1" a="1"/>
  <c r="K1856" i="1" s="1"/>
  <c r="I1867" i="1" a="1"/>
  <c r="I1867" i="1"/>
  <c r="G1869" i="1" a="1"/>
  <c r="G1869" i="1" s="1"/>
  <c r="I1866" i="1" a="1"/>
  <c r="I1866" i="1" s="1"/>
  <c r="G1865" i="1" a="1"/>
  <c r="G1865" i="1" s="1"/>
  <c r="G1862" i="1" a="1"/>
  <c r="G1862" i="1" s="1"/>
  <c r="J1856" i="1" a="1"/>
  <c r="J1856" i="1" s="1"/>
  <c r="K1869" i="1" a="1"/>
  <c r="K1869" i="1" s="1"/>
  <c r="J1862" i="1" a="1"/>
  <c r="J1862" i="1" s="1"/>
  <c r="H1866" i="1" a="1"/>
  <c r="H1866" i="1" s="1"/>
  <c r="K1863" i="1" a="1"/>
  <c r="K1863" i="1" s="1"/>
  <c r="J1860" i="1" a="1"/>
  <c r="J1860" i="1" s="1"/>
  <c r="J1869" i="1" a="1"/>
  <c r="J1869" i="1" s="1"/>
  <c r="I1869" i="1" a="1"/>
  <c r="I1869" i="1" s="1"/>
  <c r="F1869" i="1" a="1"/>
  <c r="F1869" i="1" s="1"/>
  <c r="F1856" i="1" a="1"/>
  <c r="F1856" i="1" s="1"/>
  <c r="H1860" i="1" a="1"/>
  <c r="H1860" i="1" s="1"/>
  <c r="K1867" i="1" a="1"/>
  <c r="K1867" i="1" s="1"/>
  <c r="J1863" i="1" a="1"/>
  <c r="J1863" i="1" s="1"/>
  <c r="I1860" i="1" a="1"/>
  <c r="I1860" i="1" s="1"/>
  <c r="K1854" i="1" a="1"/>
  <c r="K1854" i="1" s="1"/>
  <c r="J1852" i="1" a="1"/>
  <c r="J1852" i="1" s="1"/>
  <c r="J1850" i="1" a="1"/>
  <c r="J1850" i="1" s="1"/>
  <c r="F1850" i="1" a="1"/>
  <c r="F1850" i="1" s="1"/>
  <c r="J1846" i="1" a="1"/>
  <c r="J1846" i="1" s="1"/>
  <c r="I1852" i="1" a="1"/>
  <c r="I1852" i="1" s="1"/>
  <c r="F1852" i="1" a="1"/>
  <c r="F1852" i="1" s="1"/>
  <c r="J1848" i="1" a="1"/>
  <c r="J1848" i="1" s="1"/>
  <c r="H1846" i="1" a="1"/>
  <c r="H1846" i="1" s="1"/>
  <c r="G1854" i="1" a="1"/>
  <c r="G1854" i="1" s="1"/>
  <c r="G1850" i="1" a="1"/>
  <c r="G1850" i="1" s="1"/>
  <c r="H1848" i="1" a="1"/>
  <c r="H1848" i="1" s="1"/>
  <c r="I1848" i="1" a="1"/>
  <c r="I1848" i="1" s="1"/>
  <c r="I1846" i="1" a="1"/>
  <c r="I1846" i="1" s="1"/>
  <c r="F1846" i="1" a="1"/>
  <c r="F1846" i="1" s="1"/>
  <c r="G1846" i="1" a="1"/>
  <c r="G1846" i="1" s="1"/>
  <c r="H1852" i="1" a="1"/>
  <c r="H1852" i="1" s="1"/>
  <c r="G1852" i="1" a="1"/>
  <c r="G1852" i="1" s="1"/>
  <c r="I1850" i="1" a="1"/>
  <c r="I1850" i="1" s="1"/>
  <c r="K1850" i="1" a="1"/>
  <c r="K1850" i="1" s="1"/>
  <c r="G1848" i="1" a="1"/>
  <c r="G1848" i="1" s="1"/>
  <c r="K1846" i="1" a="1"/>
  <c r="K1846" i="1" s="1"/>
  <c r="I1854" i="1" a="1"/>
  <c r="I1854" i="1" s="1"/>
  <c r="J1854" i="1" a="1"/>
  <c r="J1854" i="1" s="1"/>
  <c r="K1852" i="1" a="1"/>
  <c r="K1852" i="1" s="1"/>
  <c r="H1850" i="1" a="1"/>
  <c r="H1850" i="1" s="1"/>
  <c r="K1848" i="1" a="1"/>
  <c r="K1848" i="1" s="1"/>
  <c r="H1854" i="1" a="1"/>
  <c r="H1854" i="1" s="1"/>
  <c r="F1854" i="1" a="1"/>
  <c r="F1854" i="1" s="1"/>
  <c r="F1848" i="1" a="1"/>
  <c r="F1848" i="1" s="1"/>
  <c r="G1837" i="1" a="1"/>
  <c r="G1837" i="1" s="1"/>
  <c r="F1840" i="1" a="1"/>
  <c r="F1840" i="1" s="1"/>
  <c r="K1843" i="1" a="1"/>
  <c r="K1843" i="1" s="1"/>
  <c r="J1843" i="1" a="1"/>
  <c r="J1843" i="1" s="1"/>
  <c r="I1843" i="1" a="1"/>
  <c r="I1843" i="1" s="1"/>
  <c r="K1837" i="1" a="1"/>
  <c r="K1837" i="1" s="1"/>
  <c r="H1843" i="1" a="1"/>
  <c r="H1843" i="1" s="1"/>
  <c r="G1843" i="1" a="1"/>
  <c r="G1843" i="1" s="1"/>
  <c r="J1840" i="1" a="1"/>
  <c r="J1840" i="1" s="1"/>
  <c r="F1843" i="1" a="1"/>
  <c r="F1843" i="1" s="1"/>
  <c r="J1835" i="1" a="1"/>
  <c r="J1835" i="1" s="1"/>
  <c r="I1841" i="1" a="1"/>
  <c r="I1841" i="1" s="1"/>
  <c r="K1841" i="1" a="1"/>
  <c r="K1841" i="1" s="1"/>
  <c r="J1841" i="1" a="1"/>
  <c r="J1841" i="1" s="1"/>
  <c r="F1837" i="1" a="1"/>
  <c r="F1837" i="1" s="1"/>
  <c r="I1835" i="1" a="1"/>
  <c r="I1835" i="1" s="1"/>
  <c r="H1841" i="1" a="1"/>
  <c r="H1841" i="1" s="1"/>
  <c r="G1841" i="1" a="1"/>
  <c r="G1841" i="1" s="1"/>
  <c r="F1841" i="1" a="1"/>
  <c r="F1841" i="1" s="1"/>
  <c r="I1837" i="1" a="1"/>
  <c r="I1837" i="1" s="1"/>
  <c r="K1840" i="1" a="1"/>
  <c r="K1840" i="1" s="1"/>
  <c r="H1840" i="1" a="1"/>
  <c r="H1840" i="1" s="1"/>
  <c r="G1840" i="1" a="1"/>
  <c r="G1840" i="1" s="1"/>
  <c r="K1835" i="1" a="1"/>
  <c r="K1835" i="1" s="1"/>
  <c r="K1845" i="1" a="1"/>
  <c r="K1845" i="1" s="1"/>
  <c r="J1845" i="1" a="1"/>
  <c r="J1845" i="1" s="1"/>
  <c r="I1845" i="1" a="1"/>
  <c r="I1845" i="1" s="1"/>
  <c r="H1845" i="1" a="1"/>
  <c r="H1845" i="1" s="1"/>
  <c r="H1837" i="1" a="1"/>
  <c r="H1837" i="1" s="1"/>
  <c r="F1845" i="1" a="1"/>
  <c r="F1845" i="1" s="1"/>
  <c r="J1837" i="1" a="1"/>
  <c r="J1837" i="1" s="1"/>
  <c r="I1840" i="1" a="1"/>
  <c r="I1840" i="1" s="1"/>
  <c r="G1845" i="1" a="1"/>
  <c r="G1845" i="1" s="1"/>
  <c r="K1831" i="1" a="1"/>
  <c r="K1831" i="1" s="1"/>
  <c r="I1831" i="1" a="1"/>
  <c r="I1831" i="1" s="1"/>
  <c r="H1822" i="1" a="1"/>
  <c r="H1822" i="1" s="1"/>
  <c r="G1824" i="1" a="1"/>
  <c r="G1824" i="1" s="1"/>
  <c r="I1827" i="1" a="1"/>
  <c r="I1827" i="1" s="1"/>
  <c r="J1822" i="1" a="1"/>
  <c r="J1822" i="1" s="1"/>
  <c r="F1827" i="1" a="1"/>
  <c r="F1827" i="1" s="1"/>
  <c r="J1826" i="1" a="1"/>
  <c r="J1826" i="1" s="1"/>
  <c r="I1829" i="1" a="1"/>
  <c r="I1829" i="1" s="1"/>
  <c r="I1822" i="1" a="1"/>
  <c r="I1822" i="1" s="1"/>
  <c r="F1824" i="1" a="1"/>
  <c r="F1824" i="1" s="1"/>
  <c r="H1827" i="1" a="1"/>
  <c r="H1827" i="1" s="1"/>
  <c r="H1826" i="1" a="1"/>
  <c r="H1826" i="1" s="1"/>
  <c r="F1822" i="1" a="1"/>
  <c r="F1822" i="1" s="1"/>
  <c r="H1835" i="1" a="1"/>
  <c r="H1835" i="1" s="1"/>
  <c r="G1835" i="1" a="1"/>
  <c r="G1835" i="1" s="1"/>
  <c r="I1833" i="1" a="1"/>
  <c r="I1833" i="1" s="1"/>
  <c r="G1831" i="1" a="1"/>
  <c r="G1831" i="1" s="1"/>
  <c r="I1824" i="1" a="1"/>
  <c r="I1824" i="1" s="1"/>
  <c r="H1833" i="1" a="1"/>
  <c r="H1833" i="1" s="1"/>
  <c r="G1833" i="1" a="1"/>
  <c r="G1833" i="1" s="1"/>
  <c r="F1826" i="1" a="1"/>
  <c r="F1826" i="1" s="1"/>
  <c r="J1831" i="1" a="1"/>
  <c r="J1831" i="1" s="1"/>
  <c r="J1824" i="1" a="1"/>
  <c r="J1824" i="1" s="1"/>
  <c r="K1822" i="1" a="1"/>
  <c r="K1822" i="1" s="1"/>
  <c r="K1829" i="1" a="1"/>
  <c r="K1829" i="1" s="1"/>
  <c r="G1827" i="1" a="1"/>
  <c r="G1827" i="1" s="1"/>
  <c r="G1826" i="1" a="1"/>
  <c r="G1826" i="1" s="1"/>
  <c r="H1824" i="1" a="1"/>
  <c r="H1824" i="1" s="1"/>
  <c r="F1831" i="1" a="1"/>
  <c r="F1831" i="1" s="1"/>
  <c r="H1829" i="1" a="1"/>
  <c r="H1829" i="1" s="1"/>
  <c r="G1822" i="1" a="1"/>
  <c r="G1822" i="1" s="1"/>
  <c r="F1829" i="1" a="1"/>
  <c r="F1829" i="1" s="1"/>
  <c r="K1827" i="1" a="1"/>
  <c r="K1827" i="1" s="1"/>
  <c r="G1829" i="1" a="1"/>
  <c r="G1829" i="1" s="1"/>
  <c r="F1835" i="1" a="1"/>
  <c r="F1835" i="1" s="1"/>
  <c r="J1827" i="1" a="1"/>
  <c r="J1827" i="1" s="1"/>
  <c r="H1831" i="1" a="1"/>
  <c r="H1831" i="1" s="1"/>
  <c r="I1826" i="1" a="1"/>
  <c r="I1826" i="1" s="1"/>
  <c r="K1833" i="1" a="1"/>
  <c r="K1833" i="1" s="1"/>
  <c r="K1824" i="1" a="1"/>
  <c r="K1824" i="1" s="1"/>
  <c r="J1833" i="1" a="1"/>
  <c r="J1833" i="1" s="1"/>
  <c r="J1829" i="1" a="1"/>
  <c r="J1829" i="1" s="1"/>
  <c r="F1833" i="1" a="1"/>
  <c r="F1833" i="1" s="1"/>
  <c r="K1826" i="1" a="1"/>
  <c r="K1826" i="1" s="1"/>
  <c r="K1821" i="1" a="1"/>
  <c r="K1821" i="1" s="1"/>
  <c r="J1821" i="1" a="1"/>
  <c r="J1821" i="1" s="1"/>
  <c r="F1821" i="1" a="1"/>
  <c r="F1821" i="1" s="1"/>
  <c r="I1821" i="1" a="1"/>
  <c r="I1821" i="1" s="1"/>
  <c r="H1821" i="1" a="1"/>
  <c r="H1821" i="1" s="1"/>
  <c r="G1821" i="1" a="1"/>
  <c r="G1821" i="1" s="1"/>
  <c r="G1039" i="1" a="1"/>
  <c r="G1039" i="1" s="1"/>
  <c r="K1030" i="1" a="1"/>
  <c r="K1030" i="1" s="1"/>
  <c r="G1030" i="1" a="1"/>
  <c r="G1030" i="1" s="1"/>
  <c r="I1039" i="1" a="1"/>
  <c r="I1039" i="1" s="1"/>
  <c r="K1027" i="1" a="1"/>
  <c r="K1027" i="1" s="1"/>
  <c r="G1027" i="1" a="1"/>
  <c r="G1027" i="1" s="1"/>
  <c r="H1027" i="1" a="1"/>
  <c r="H1027" i="1" s="1"/>
  <c r="K1039" i="1" a="1"/>
  <c r="K1039" i="1" s="1"/>
  <c r="F1039" i="1" a="1"/>
  <c r="F1039" i="1" s="1"/>
  <c r="I1027" i="1" a="1"/>
  <c r="I1027" i="1" s="1"/>
  <c r="J1030" i="1" a="1"/>
  <c r="J1030" i="1" s="1"/>
  <c r="I1037" i="1" a="1"/>
  <c r="I1037" i="1" s="1"/>
  <c r="F1025" i="1" a="1"/>
  <c r="F1025" i="1" s="1"/>
  <c r="K1025" i="1" a="1"/>
  <c r="K1025" i="1" s="1"/>
  <c r="F1030" i="1" a="1"/>
  <c r="F1030" i="1" s="1"/>
  <c r="J1025" i="1" a="1"/>
  <c r="J1025" i="1" s="1"/>
  <c r="F1027" i="1" a="1"/>
  <c r="F1027" i="1" s="1"/>
  <c r="H1025" i="1" a="1"/>
  <c r="H1025" i="1" s="1"/>
  <c r="J1037" i="1" a="1"/>
  <c r="J1037" i="1" s="1"/>
  <c r="H1037" i="1" a="1"/>
  <c r="H1037" i="1" s="1"/>
  <c r="G1037" i="1" a="1"/>
  <c r="G1037" i="1" s="1"/>
  <c r="J1027" i="1" a="1"/>
  <c r="J1027" i="1" s="1"/>
  <c r="F1037" i="1" a="1"/>
  <c r="F1037" i="1" s="1"/>
  <c r="I1030" i="1" a="1"/>
  <c r="I1030" i="1" s="1"/>
  <c r="G1025" i="1" a="1"/>
  <c r="G1025" i="1" s="1"/>
  <c r="I1025" i="1" a="1"/>
  <c r="I1025" i="1" s="1"/>
  <c r="K1037" i="1" a="1"/>
  <c r="K1037" i="1" s="1"/>
  <c r="H1039" i="1" a="1"/>
  <c r="H1039" i="1" s="1"/>
  <c r="J1039" i="1" a="1"/>
  <c r="J1039" i="1" s="1"/>
  <c r="H1030" i="1" a="1"/>
  <c r="H1030" i="1" s="1"/>
  <c r="G996" i="1" a="1"/>
  <c r="G996" i="1" s="1"/>
  <c r="I996" i="1" a="1"/>
  <c r="I996" i="1" s="1"/>
  <c r="K1006" i="1" a="1"/>
  <c r="K1006" i="1" s="1"/>
  <c r="K1052" i="1" s="1" a="1"/>
  <c r="K1052" i="1" s="1"/>
  <c r="H1006" i="1" a="1"/>
  <c r="H1006" i="1" s="1"/>
  <c r="H1052" i="1" s="1" a="1"/>
  <c r="H1052" i="1" s="1"/>
  <c r="F1006" i="1" a="1"/>
  <c r="F1006" i="1" s="1"/>
  <c r="F1052" i="1" s="1" a="1"/>
  <c r="F1052" i="1" s="1"/>
  <c r="I997" i="1" a="1"/>
  <c r="I997" i="1" s="1"/>
  <c r="I1049" i="1" s="1" a="1"/>
  <c r="I1049" i="1" s="1"/>
  <c r="J997" i="1" a="1"/>
  <c r="J997" i="1" s="1"/>
  <c r="J1049" i="1" s="1" a="1"/>
  <c r="J1049" i="1" s="1"/>
  <c r="K989" i="1" a="1"/>
  <c r="K989" i="1" s="1"/>
  <c r="K1022" i="1" a="1"/>
  <c r="K1022" i="1" s="1"/>
  <c r="J1022" i="1" a="1"/>
  <c r="J1022" i="1" s="1"/>
  <c r="G989" i="1" a="1"/>
  <c r="G989" i="1" s="1"/>
  <c r="F989" i="1" a="1"/>
  <c r="F989" i="1" s="1"/>
  <c r="J1006" i="1" a="1"/>
  <c r="J1006" i="1" s="1"/>
  <c r="J1052" i="1" s="1" a="1"/>
  <c r="J1052" i="1" s="1"/>
  <c r="I1022" i="1" a="1"/>
  <c r="I1022" i="1" s="1"/>
  <c r="F997" i="1" a="1"/>
  <c r="F997" i="1" s="1"/>
  <c r="F1049" i="1" s="1" a="1"/>
  <c r="F1049" i="1" s="1"/>
  <c r="F996" i="1" a="1"/>
  <c r="F996" i="1" s="1"/>
  <c r="H997" i="1" a="1"/>
  <c r="H997" i="1" s="1"/>
  <c r="H1049" i="1" s="1" a="1"/>
  <c r="H1049" i="1" s="1"/>
  <c r="H996" i="1" a="1"/>
  <c r="H996" i="1" s="1"/>
  <c r="J996" i="1" a="1"/>
  <c r="J996" i="1" s="1"/>
  <c r="I989" i="1" a="1"/>
  <c r="I989" i="1" s="1"/>
  <c r="H1022" i="1" a="1"/>
  <c r="H1022" i="1" s="1"/>
  <c r="G1022" i="1" a="1"/>
  <c r="G1022" i="1" s="1"/>
  <c r="F1022" i="1" a="1"/>
  <c r="F1022" i="1" s="1"/>
  <c r="H989" i="1" a="1"/>
  <c r="H989" i="1" s="1"/>
  <c r="K996" i="1" a="1"/>
  <c r="K996" i="1" s="1"/>
  <c r="I1006" i="1" a="1"/>
  <c r="I1006" i="1" s="1"/>
  <c r="I1052" i="1" s="1" a="1"/>
  <c r="I1052" i="1" s="1"/>
  <c r="J989" i="1" a="1"/>
  <c r="J989" i="1" s="1"/>
  <c r="G1006" i="1" a="1"/>
  <c r="G1006" i="1" s="1"/>
  <c r="G1052" i="1" s="1" a="1"/>
  <c r="G1052" i="1" s="1"/>
  <c r="G997" i="1" a="1"/>
  <c r="G997" i="1" s="1"/>
  <c r="G1049" i="1" s="1" a="1"/>
  <c r="G1049" i="1" s="1"/>
  <c r="K997" i="1" a="1"/>
  <c r="K997" i="1" s="1"/>
  <c r="K1049" i="1" s="1" a="1"/>
  <c r="K1049" i="1" s="1"/>
  <c r="K977" i="1" a="1"/>
  <c r="K977" i="1" s="1"/>
  <c r="K1051" i="1" s="1" a="1"/>
  <c r="K1051" i="1" s="1"/>
  <c r="F977" i="1" a="1"/>
  <c r="F977" i="1" s="1"/>
  <c r="F1051" i="1" s="1" a="1"/>
  <c r="F1051" i="1" s="1"/>
  <c r="F974" i="1" a="1"/>
  <c r="F974" i="1" s="1"/>
  <c r="G976" i="1" a="1"/>
  <c r="G976" i="1" s="1"/>
  <c r="F973" i="1" a="1"/>
  <c r="F973" i="1" s="1"/>
  <c r="J973" i="1" a="1"/>
  <c r="J973" i="1" s="1"/>
  <c r="J976" i="1" a="1"/>
  <c r="J976" i="1" s="1"/>
  <c r="H974" i="1" a="1"/>
  <c r="H974" i="1" s="1"/>
  <c r="J983" i="1" a="1"/>
  <c r="J983" i="1" s="1"/>
  <c r="H983" i="1" a="1"/>
  <c r="H983" i="1" s="1"/>
  <c r="I983" i="1" a="1"/>
  <c r="I983" i="1" s="1"/>
  <c r="G983" i="1" a="1"/>
  <c r="G983" i="1" s="1"/>
  <c r="F983" i="1" a="1"/>
  <c r="F983" i="1" s="1"/>
  <c r="J977" i="1" a="1"/>
  <c r="J977" i="1" s="1"/>
  <c r="J1051" i="1" s="1" a="1"/>
  <c r="J1051" i="1" s="1"/>
  <c r="I977" i="1" a="1"/>
  <c r="I977" i="1" s="1"/>
  <c r="I1051" i="1" s="1" a="1"/>
  <c r="I1051" i="1" s="1"/>
  <c r="H977" i="1" a="1"/>
  <c r="H977" i="1" s="1"/>
  <c r="H1051" i="1" s="1" a="1"/>
  <c r="H1051" i="1" s="1"/>
  <c r="I974" i="1" a="1"/>
  <c r="I974" i="1" s="1"/>
  <c r="G977" i="1" a="1"/>
  <c r="G977" i="1" s="1"/>
  <c r="G1051" i="1" s="1" a="1"/>
  <c r="G1051" i="1" s="1"/>
  <c r="I976" i="1" a="1"/>
  <c r="I976" i="1" s="1"/>
  <c r="H976" i="1" a="1"/>
  <c r="H976" i="1" s="1"/>
  <c r="G974" i="1" a="1"/>
  <c r="G974" i="1" s="1"/>
  <c r="G973" i="1" a="1"/>
  <c r="G973" i="1" s="1"/>
  <c r="F976" i="1" a="1"/>
  <c r="F976" i="1" s="1"/>
  <c r="I973" i="1" a="1"/>
  <c r="I973" i="1" s="1"/>
  <c r="J974" i="1" a="1"/>
  <c r="J974" i="1" s="1"/>
  <c r="H973" i="1" a="1"/>
  <c r="H973" i="1" s="1"/>
  <c r="K973" i="1" a="1"/>
  <c r="K973" i="1" s="1"/>
  <c r="K976" i="1" a="1"/>
  <c r="K976" i="1" s="1"/>
  <c r="K983" i="1" a="1"/>
  <c r="K983" i="1" s="1"/>
  <c r="K974" i="1" a="1"/>
  <c r="K974" i="1" s="1"/>
  <c r="G914" i="1" a="1"/>
  <c r="G914" i="1" s="1"/>
  <c r="G883" i="1" a="1"/>
  <c r="G883" i="1" s="1"/>
  <c r="I914" i="1" a="1"/>
  <c r="I914" i="1" s="1"/>
  <c r="F914" i="1" a="1"/>
  <c r="F914" i="1" s="1"/>
  <c r="K883" i="1" a="1"/>
  <c r="K883" i="1" s="1"/>
  <c r="F883" i="1" a="1"/>
  <c r="F883" i="1" s="1"/>
  <c r="J926" i="1" a="1"/>
  <c r="J926" i="1" s="1"/>
  <c r="H926" i="1" a="1"/>
  <c r="H926" i="1" s="1"/>
  <c r="K914" i="1" a="1"/>
  <c r="K914" i="1" s="1"/>
  <c r="H914" i="1" a="1"/>
  <c r="H914" i="1" s="1"/>
  <c r="F894" i="1" a="1"/>
  <c r="F894" i="1" s="1"/>
  <c r="I912" i="1" a="1"/>
  <c r="I912" i="1" s="1"/>
  <c r="K926" i="1" a="1"/>
  <c r="K926" i="1" s="1"/>
  <c r="I926" i="1" a="1"/>
  <c r="I926" i="1" s="1"/>
  <c r="G926" i="1" a="1"/>
  <c r="G926" i="1" s="1"/>
  <c r="J914" i="1" a="1"/>
  <c r="J914" i="1" s="1"/>
  <c r="I894" i="1" a="1"/>
  <c r="I894" i="1" s="1"/>
  <c r="J912" i="1" a="1"/>
  <c r="J912" i="1" s="1"/>
  <c r="K894" i="1" a="1"/>
  <c r="K894" i="1" s="1"/>
  <c r="I883" i="1" a="1"/>
  <c r="I883" i="1" s="1"/>
  <c r="H883" i="1" a="1"/>
  <c r="H883" i="1" s="1"/>
  <c r="H912" i="1" a="1"/>
  <c r="H912" i="1" s="1"/>
  <c r="F912" i="1" a="1"/>
  <c r="F912" i="1" s="1"/>
  <c r="K912" i="1" a="1"/>
  <c r="K912" i="1" s="1"/>
  <c r="J894" i="1" a="1"/>
  <c r="J894" i="1" s="1"/>
  <c r="G894" i="1" a="1"/>
  <c r="G894" i="1" s="1"/>
  <c r="G912" i="1" a="1"/>
  <c r="G912" i="1" s="1"/>
  <c r="H894" i="1" a="1"/>
  <c r="H894" i="1" s="1"/>
  <c r="J883" i="1" a="1"/>
  <c r="J883" i="1" s="1"/>
  <c r="F926" i="1" a="1"/>
  <c r="F926" i="1" s="1"/>
  <c r="K804" i="1" a="1"/>
  <c r="K804" i="1" s="1"/>
  <c r="H804" i="1" a="1"/>
  <c r="H804" i="1" s="1"/>
  <c r="J804" i="1" a="1"/>
  <c r="J804" i="1" s="1"/>
  <c r="K882" i="1" a="1"/>
  <c r="K882" i="1" s="1"/>
  <c r="J882" i="1" a="1"/>
  <c r="J882" i="1" s="1"/>
  <c r="I882" i="1" a="1"/>
  <c r="I882" i="1" s="1"/>
  <c r="H882" i="1" a="1"/>
  <c r="H882" i="1" s="1"/>
  <c r="F882" i="1" a="1"/>
  <c r="F882" i="1" s="1"/>
  <c r="I804" i="1" a="1"/>
  <c r="I804" i="1" s="1"/>
  <c r="G882" i="1" a="1"/>
  <c r="G882" i="1" s="1"/>
  <c r="I802" i="1" a="1"/>
  <c r="I802" i="1" s="1"/>
  <c r="F802" i="1" a="1"/>
  <c r="F802" i="1" s="1"/>
  <c r="H764" i="1" a="1"/>
  <c r="H764" i="1" s="1"/>
  <c r="H814" i="1" s="1" a="1"/>
  <c r="H814" i="1" s="1"/>
  <c r="H802" i="1" a="1"/>
  <c r="H802" i="1" s="1"/>
  <c r="G802" i="1" a="1"/>
  <c r="G802" i="1" s="1"/>
  <c r="G800" i="1" a="1"/>
  <c r="G800" i="1" s="1"/>
  <c r="G764" i="1" a="1"/>
  <c r="G764" i="1" s="1"/>
  <c r="G814" i="1" s="1" a="1"/>
  <c r="G814" i="1" s="1"/>
  <c r="F800" i="1" a="1"/>
  <c r="F800" i="1" s="1"/>
  <c r="K800" i="1" a="1"/>
  <c r="K800" i="1" s="1"/>
  <c r="I778" i="1" a="1"/>
  <c r="I778" i="1" s="1"/>
  <c r="I777" i="1" s="1"/>
  <c r="I764" i="1" a="1"/>
  <c r="I764" i="1" s="1"/>
  <c r="I814" i="1" s="1" a="1"/>
  <c r="I814" i="1" s="1"/>
  <c r="J800" i="1" a="1"/>
  <c r="J800" i="1" s="1"/>
  <c r="I800" i="1" a="1"/>
  <c r="I800" i="1" s="1"/>
  <c r="H800" i="1" a="1"/>
  <c r="H800" i="1" s="1"/>
  <c r="J778" i="1" a="1"/>
  <c r="J778" i="1" s="1"/>
  <c r="J777" i="1" s="1"/>
  <c r="K778" i="1" a="1"/>
  <c r="K778" i="1" s="1"/>
  <c r="K777" i="1" s="1"/>
  <c r="K784" i="1" s="1"/>
  <c r="K785" i="1" s="1"/>
  <c r="H778" i="1" a="1"/>
  <c r="H778" i="1" s="1"/>
  <c r="H777" i="1" s="1"/>
  <c r="F764" i="1" a="1"/>
  <c r="F764" i="1" s="1"/>
  <c r="F814" i="1" s="1" a="1"/>
  <c r="F814" i="1" s="1"/>
  <c r="G778" i="1" a="1"/>
  <c r="G778" i="1" s="1"/>
  <c r="G777" i="1" s="1"/>
  <c r="F778" i="1" a="1"/>
  <c r="F778" i="1" s="1"/>
  <c r="F777" i="1" s="1"/>
  <c r="F784" i="1" s="1"/>
  <c r="F785" i="1" s="1"/>
  <c r="J764" i="1" a="1"/>
  <c r="J764" i="1" s="1"/>
  <c r="J814" i="1" s="1" a="1"/>
  <c r="J814" i="1" s="1"/>
  <c r="K764" i="1" a="1"/>
  <c r="K764" i="1" s="1"/>
  <c r="K814" i="1" s="1" a="1"/>
  <c r="K814" i="1" s="1"/>
  <c r="G804" i="1" a="1"/>
  <c r="G804" i="1" s="1"/>
  <c r="F804" i="1" a="1"/>
  <c r="F804" i="1" s="1"/>
  <c r="K802" i="1" a="1"/>
  <c r="K802" i="1" s="1"/>
  <c r="J802" i="1" a="1"/>
  <c r="J802" i="1" s="1"/>
  <c r="K854" i="1"/>
  <c r="K853" i="1" s="1"/>
  <c r="J854" i="1"/>
  <c r="I854" i="1"/>
  <c r="H854" i="1"/>
  <c r="G854" i="1"/>
  <c r="F854" i="1"/>
  <c r="J853" i="1"/>
  <c r="I853" i="1"/>
  <c r="H853" i="1"/>
  <c r="G853" i="1"/>
  <c r="F853" i="1"/>
  <c r="K851" i="1"/>
  <c r="J851" i="1"/>
  <c r="I851" i="1"/>
  <c r="H851" i="1"/>
  <c r="G851" i="1"/>
  <c r="F851" i="1"/>
  <c r="K849" i="1"/>
  <c r="J849" i="1"/>
  <c r="I849" i="1"/>
  <c r="H849" i="1"/>
  <c r="G849" i="1"/>
  <c r="F849" i="1"/>
  <c r="K847" i="1"/>
  <c r="J847" i="1"/>
  <c r="I847" i="1"/>
  <c r="H847" i="1"/>
  <c r="G847" i="1"/>
  <c r="F847" i="1"/>
  <c r="K845" i="1"/>
  <c r="J845" i="1"/>
  <c r="I845" i="1"/>
  <c r="H845" i="1"/>
  <c r="G845" i="1"/>
  <c r="F845" i="1"/>
  <c r="K843" i="1"/>
  <c r="J843" i="1"/>
  <c r="I843" i="1"/>
  <c r="H843" i="1"/>
  <c r="G843" i="1"/>
  <c r="F843" i="1"/>
  <c r="K841" i="1"/>
  <c r="J841" i="1"/>
  <c r="I841" i="1"/>
  <c r="H841" i="1"/>
  <c r="G841" i="1"/>
  <c r="F841" i="1"/>
  <c r="K831" i="1"/>
  <c r="J831" i="1"/>
  <c r="I831" i="1"/>
  <c r="H831" i="1"/>
  <c r="G831" i="1"/>
  <c r="F831" i="1"/>
  <c r="K829" i="1"/>
  <c r="J829" i="1"/>
  <c r="I829" i="1"/>
  <c r="H829" i="1"/>
  <c r="G829" i="1"/>
  <c r="F829" i="1"/>
  <c r="K827" i="1"/>
  <c r="J827" i="1"/>
  <c r="I827" i="1"/>
  <c r="H827" i="1"/>
  <c r="G827" i="1"/>
  <c r="F827" i="1"/>
  <c r="K826" i="1"/>
  <c r="J826" i="1"/>
  <c r="I826" i="1"/>
  <c r="H826" i="1"/>
  <c r="G826" i="1"/>
  <c r="F826" i="1"/>
  <c r="K825" i="1"/>
  <c r="J825" i="1"/>
  <c r="I825" i="1"/>
  <c r="H825" i="1"/>
  <c r="G825" i="1"/>
  <c r="F825" i="1"/>
  <c r="K823" i="1"/>
  <c r="J823" i="1"/>
  <c r="I823" i="1"/>
  <c r="H823" i="1"/>
  <c r="G823" i="1"/>
  <c r="F823" i="1"/>
  <c r="K822" i="1"/>
  <c r="J822" i="1"/>
  <c r="I822" i="1"/>
  <c r="H822" i="1"/>
  <c r="G822" i="1"/>
  <c r="F822" i="1"/>
  <c r="K820" i="1"/>
  <c r="J820" i="1"/>
  <c r="I820" i="1"/>
  <c r="H820" i="1"/>
  <c r="G820" i="1"/>
  <c r="F820" i="1"/>
  <c r="K819" i="1"/>
  <c r="J819" i="1"/>
  <c r="I819" i="1"/>
  <c r="H819" i="1"/>
  <c r="G819" i="1"/>
  <c r="F819" i="1"/>
  <c r="K818" i="1"/>
  <c r="J818" i="1"/>
  <c r="I818" i="1"/>
  <c r="H818" i="1"/>
  <c r="G818" i="1"/>
  <c r="F818" i="1"/>
  <c r="K816" i="1"/>
  <c r="J816" i="1"/>
  <c r="I816" i="1"/>
  <c r="H816" i="1"/>
  <c r="G816" i="1"/>
  <c r="F816" i="1"/>
  <c r="K813" i="1"/>
  <c r="J813" i="1"/>
  <c r="I813" i="1"/>
  <c r="H813" i="1"/>
  <c r="G813" i="1"/>
  <c r="F813" i="1"/>
  <c r="K811" i="1"/>
  <c r="J811" i="1"/>
  <c r="I811" i="1"/>
  <c r="H811" i="1"/>
  <c r="G811" i="1"/>
  <c r="F811" i="1"/>
  <c r="K809" i="1"/>
  <c r="J809" i="1"/>
  <c r="I809" i="1"/>
  <c r="H809" i="1"/>
  <c r="G809" i="1"/>
  <c r="F809" i="1"/>
  <c r="K805" i="1"/>
  <c r="J805" i="1"/>
  <c r="I805" i="1"/>
  <c r="H805" i="1"/>
  <c r="G805" i="1"/>
  <c r="F805" i="1"/>
  <c r="K789" i="1"/>
  <c r="J789" i="1"/>
  <c r="I789" i="1"/>
  <c r="H789" i="1"/>
  <c r="G789" i="1"/>
  <c r="F789" i="1"/>
  <c r="K787" i="1"/>
  <c r="J787" i="1"/>
  <c r="I787" i="1"/>
  <c r="H787" i="1"/>
  <c r="G787" i="1"/>
  <c r="F787" i="1"/>
  <c r="K786" i="1"/>
  <c r="J786" i="1"/>
  <c r="I786" i="1"/>
  <c r="H786" i="1"/>
  <c r="G786" i="1"/>
  <c r="F786" i="1"/>
  <c r="K780" i="1"/>
  <c r="J780" i="1"/>
  <c r="I780" i="1"/>
  <c r="H780" i="1"/>
  <c r="G780" i="1"/>
  <c r="F780" i="1"/>
  <c r="K776" i="1"/>
  <c r="J776" i="1"/>
  <c r="I776" i="1"/>
  <c r="H776" i="1"/>
  <c r="G776" i="1"/>
  <c r="F776" i="1"/>
  <c r="K774" i="1"/>
  <c r="J774" i="1"/>
  <c r="I774" i="1"/>
  <c r="H774" i="1"/>
  <c r="G774" i="1"/>
  <c r="F774" i="1"/>
  <c r="K772" i="1"/>
  <c r="J772" i="1"/>
  <c r="I772" i="1"/>
  <c r="H772" i="1"/>
  <c r="G772" i="1"/>
  <c r="F772" i="1"/>
  <c r="K770" i="1"/>
  <c r="J770" i="1"/>
  <c r="I770" i="1"/>
  <c r="H770" i="1"/>
  <c r="G770" i="1"/>
  <c r="F770" i="1"/>
  <c r="K765" i="1"/>
  <c r="J765" i="1"/>
  <c r="I765" i="1"/>
  <c r="H765" i="1"/>
  <c r="G765" i="1"/>
  <c r="F765" i="1"/>
  <c r="K762" i="1"/>
  <c r="J762" i="1"/>
  <c r="I762" i="1"/>
  <c r="H762" i="1"/>
  <c r="G762" i="1"/>
  <c r="F762" i="1"/>
  <c r="K705" i="1"/>
  <c r="J705" i="1"/>
  <c r="I705" i="1"/>
  <c r="H705" i="1"/>
  <c r="G705" i="1"/>
  <c r="F705" i="1"/>
  <c r="K704" i="1"/>
  <c r="J704" i="1"/>
  <c r="I704" i="1"/>
  <c r="H704" i="1"/>
  <c r="G704" i="1"/>
  <c r="F704" i="1"/>
  <c r="K676" i="1"/>
  <c r="J676" i="1"/>
  <c r="I676" i="1"/>
  <c r="H676" i="1"/>
  <c r="G676" i="1"/>
  <c r="F676" i="1"/>
  <c r="K675" i="1"/>
  <c r="J675" i="1"/>
  <c r="I675" i="1"/>
  <c r="H675" i="1"/>
  <c r="G675" i="1"/>
  <c r="F675" i="1"/>
  <c r="K667" i="1"/>
  <c r="K673" i="1" s="1"/>
  <c r="J667" i="1"/>
  <c r="J673" i="1" s="1"/>
  <c r="I667" i="1"/>
  <c r="I673" i="1" s="1"/>
  <c r="H667" i="1"/>
  <c r="H673" i="1" s="1"/>
  <c r="G667" i="1"/>
  <c r="G673" i="1" s="1"/>
  <c r="F667" i="1"/>
  <c r="F673" i="1" s="1"/>
  <c r="K666" i="1"/>
  <c r="K672" i="1" s="1"/>
  <c r="J666" i="1"/>
  <c r="J672" i="1" s="1"/>
  <c r="I666" i="1"/>
  <c r="I672" i="1" s="1"/>
  <c r="H666" i="1"/>
  <c r="H672" i="1" s="1"/>
  <c r="G666" i="1"/>
  <c r="G672" i="1" s="1"/>
  <c r="F666" i="1"/>
  <c r="F672" i="1" s="1"/>
  <c r="K665" i="1"/>
  <c r="J665" i="1"/>
  <c r="I665" i="1"/>
  <c r="H665" i="1"/>
  <c r="G665" i="1"/>
  <c r="F665" i="1"/>
  <c r="K661" i="1"/>
  <c r="J661" i="1"/>
  <c r="I661" i="1"/>
  <c r="H661" i="1"/>
  <c r="G661" i="1"/>
  <c r="F661" i="1"/>
  <c r="K619" i="1"/>
  <c r="J619" i="1"/>
  <c r="I619" i="1"/>
  <c r="H619" i="1"/>
  <c r="G619" i="1"/>
  <c r="F619" i="1"/>
  <c r="K614" i="1"/>
  <c r="J614" i="1"/>
  <c r="I614" i="1"/>
  <c r="H614" i="1"/>
  <c r="G614" i="1"/>
  <c r="F614" i="1"/>
  <c r="K613" i="1"/>
  <c r="J613" i="1"/>
  <c r="I613" i="1"/>
  <c r="H613" i="1"/>
  <c r="G613" i="1"/>
  <c r="F613" i="1"/>
  <c r="K598" i="1"/>
  <c r="J598" i="1"/>
  <c r="I598" i="1"/>
  <c r="H598" i="1"/>
  <c r="G598" i="1"/>
  <c r="F598" i="1"/>
  <c r="K580" i="1"/>
  <c r="J580" i="1"/>
  <c r="I580" i="1"/>
  <c r="H580" i="1"/>
  <c r="G580" i="1"/>
  <c r="F580" i="1"/>
  <c r="K503" i="1"/>
  <c r="J503" i="1"/>
  <c r="I503" i="1"/>
  <c r="H503" i="1"/>
  <c r="G503" i="1"/>
  <c r="F503" i="1"/>
  <c r="K460" i="1"/>
  <c r="J460" i="1"/>
  <c r="I460" i="1"/>
  <c r="H460" i="1"/>
  <c r="G460" i="1"/>
  <c r="F460" i="1"/>
  <c r="K458" i="1"/>
  <c r="J458" i="1"/>
  <c r="I458" i="1"/>
  <c r="H458" i="1"/>
  <c r="G458" i="1"/>
  <c r="F458" i="1"/>
  <c r="K456" i="1"/>
  <c r="J456" i="1"/>
  <c r="I456" i="1"/>
  <c r="H456" i="1"/>
  <c r="G456" i="1"/>
  <c r="F456" i="1"/>
  <c r="K454" i="1"/>
  <c r="J454" i="1"/>
  <c r="I454" i="1"/>
  <c r="H454" i="1"/>
  <c r="G454" i="1"/>
  <c r="F454" i="1"/>
  <c r="K448" i="1"/>
  <c r="J448" i="1"/>
  <c r="I448" i="1"/>
  <c r="H448" i="1"/>
  <c r="G448" i="1"/>
  <c r="F448" i="1"/>
  <c r="K446" i="1"/>
  <c r="J446" i="1"/>
  <c r="I446" i="1"/>
  <c r="H446" i="1"/>
  <c r="G446" i="1"/>
  <c r="F446" i="1"/>
  <c r="K444" i="1"/>
  <c r="J444" i="1"/>
  <c r="I444" i="1"/>
  <c r="H444" i="1"/>
  <c r="G444" i="1"/>
  <c r="F444" i="1"/>
  <c r="K442" i="1"/>
  <c r="J442" i="1"/>
  <c r="I442" i="1"/>
  <c r="H442" i="1"/>
  <c r="G442" i="1"/>
  <c r="F442" i="1"/>
  <c r="K406" i="1"/>
  <c r="J406" i="1"/>
  <c r="I406" i="1"/>
  <c r="H406" i="1"/>
  <c r="G406" i="1"/>
  <c r="F406" i="1"/>
  <c r="K405" i="1"/>
  <c r="J405" i="1"/>
  <c r="I405" i="1"/>
  <c r="H405" i="1"/>
  <c r="G405" i="1"/>
  <c r="F405" i="1"/>
  <c r="K404" i="1"/>
  <c r="J404" i="1"/>
  <c r="I404" i="1"/>
  <c r="H404" i="1"/>
  <c r="G404" i="1"/>
  <c r="F404" i="1"/>
  <c r="K403" i="1"/>
  <c r="J403" i="1"/>
  <c r="I403" i="1"/>
  <c r="H403" i="1"/>
  <c r="G403" i="1"/>
  <c r="F403" i="1"/>
  <c r="K402" i="1"/>
  <c r="J402" i="1"/>
  <c r="I402" i="1"/>
  <c r="H402" i="1"/>
  <c r="G402" i="1"/>
  <c r="F402" i="1"/>
  <c r="K401" i="1"/>
  <c r="J401" i="1"/>
  <c r="I401" i="1"/>
  <c r="H401" i="1"/>
  <c r="G401" i="1"/>
  <c r="F401" i="1"/>
  <c r="K400" i="1"/>
  <c r="J400" i="1"/>
  <c r="I400" i="1"/>
  <c r="H400" i="1"/>
  <c r="G400" i="1"/>
  <c r="F400" i="1"/>
  <c r="K394" i="1"/>
  <c r="J394" i="1"/>
  <c r="I394" i="1"/>
  <c r="H394" i="1"/>
  <c r="G394" i="1"/>
  <c r="F394" i="1"/>
  <c r="K392" i="1"/>
  <c r="J392" i="1"/>
  <c r="I392" i="1"/>
  <c r="H392" i="1"/>
  <c r="G392" i="1"/>
  <c r="F392" i="1"/>
  <c r="K391" i="1"/>
  <c r="J391" i="1"/>
  <c r="I391" i="1"/>
  <c r="H391" i="1"/>
  <c r="G391" i="1"/>
  <c r="F391" i="1"/>
  <c r="K390" i="1"/>
  <c r="J390" i="1"/>
  <c r="I390" i="1"/>
  <c r="H390" i="1"/>
  <c r="G390" i="1"/>
  <c r="F390" i="1"/>
  <c r="K389" i="1"/>
  <c r="J389" i="1"/>
  <c r="I389" i="1"/>
  <c r="H389" i="1"/>
  <c r="G389" i="1"/>
  <c r="F389" i="1"/>
  <c r="K388" i="1"/>
  <c r="J388" i="1"/>
  <c r="I388" i="1"/>
  <c r="H388" i="1"/>
  <c r="G388" i="1"/>
  <c r="F388" i="1"/>
  <c r="K386" i="1"/>
  <c r="J386" i="1"/>
  <c r="I386" i="1"/>
  <c r="H386" i="1"/>
  <c r="G386" i="1"/>
  <c r="F386" i="1"/>
  <c r="K379" i="1"/>
  <c r="J379" i="1"/>
  <c r="I379" i="1"/>
  <c r="H379" i="1"/>
  <c r="G379" i="1"/>
  <c r="F379" i="1"/>
  <c r="K358" i="1"/>
  <c r="J358" i="1"/>
  <c r="I358" i="1"/>
  <c r="H358" i="1"/>
  <c r="G358" i="1"/>
  <c r="F358" i="1"/>
  <c r="K357" i="1"/>
  <c r="J357" i="1"/>
  <c r="I357" i="1"/>
  <c r="H357" i="1"/>
  <c r="G357" i="1"/>
  <c r="F357" i="1"/>
  <c r="K311" i="1"/>
  <c r="J311" i="1"/>
  <c r="I311" i="1"/>
  <c r="H311" i="1"/>
  <c r="G311" i="1"/>
  <c r="F311" i="1"/>
  <c r="K310" i="1"/>
  <c r="J310" i="1"/>
  <c r="I310" i="1"/>
  <c r="H310" i="1"/>
  <c r="G310" i="1"/>
  <c r="F310" i="1"/>
  <c r="K309" i="1"/>
  <c r="J309" i="1"/>
  <c r="I309" i="1"/>
  <c r="H309" i="1"/>
  <c r="G309" i="1"/>
  <c r="F309" i="1"/>
  <c r="K297" i="1"/>
  <c r="J297" i="1"/>
  <c r="I297" i="1"/>
  <c r="H297" i="1"/>
  <c r="G297" i="1"/>
  <c r="F297" i="1"/>
  <c r="K295" i="1"/>
  <c r="J295" i="1"/>
  <c r="I295" i="1"/>
  <c r="H295" i="1"/>
  <c r="G295" i="1"/>
  <c r="F295" i="1"/>
  <c r="K294" i="1"/>
  <c r="J294" i="1"/>
  <c r="I294" i="1"/>
  <c r="H294" i="1"/>
  <c r="G294" i="1"/>
  <c r="F294" i="1"/>
  <c r="K293" i="1"/>
  <c r="J293" i="1"/>
  <c r="I293" i="1"/>
  <c r="H293" i="1"/>
  <c r="G293" i="1"/>
  <c r="F293" i="1"/>
  <c r="K291" i="1"/>
  <c r="J291" i="1"/>
  <c r="I291" i="1"/>
  <c r="H291" i="1"/>
  <c r="G291" i="1"/>
  <c r="F291" i="1"/>
  <c r="K393" i="1"/>
  <c r="J393" i="1"/>
  <c r="I393" i="1"/>
  <c r="H393" i="1"/>
  <c r="G393" i="1"/>
  <c r="F393" i="1"/>
  <c r="K288" i="1"/>
  <c r="J288" i="1"/>
  <c r="I288" i="1"/>
  <c r="H288" i="1"/>
  <c r="G288" i="1"/>
  <c r="F288" i="1"/>
  <c r="K287" i="1"/>
  <c r="J287" i="1"/>
  <c r="I287" i="1"/>
  <c r="H287" i="1"/>
  <c r="G287" i="1"/>
  <c r="F287" i="1"/>
  <c r="K285" i="1"/>
  <c r="J285" i="1"/>
  <c r="I285" i="1"/>
  <c r="H285" i="1"/>
  <c r="G285" i="1"/>
  <c r="F285" i="1"/>
  <c r="K284" i="1"/>
  <c r="J284" i="1"/>
  <c r="I284" i="1"/>
  <c r="H284" i="1"/>
  <c r="G284" i="1"/>
  <c r="F284" i="1"/>
  <c r="K283" i="1"/>
  <c r="J283" i="1"/>
  <c r="I283" i="1"/>
  <c r="H283" i="1"/>
  <c r="G283" i="1"/>
  <c r="F283" i="1"/>
  <c r="K248" i="1"/>
  <c r="J248" i="1"/>
  <c r="I248" i="1"/>
  <c r="H248" i="1"/>
  <c r="G248" i="1"/>
  <c r="F248" i="1"/>
  <c r="K247" i="1"/>
  <c r="J247" i="1"/>
  <c r="I247" i="1"/>
  <c r="H247" i="1"/>
  <c r="G247" i="1"/>
  <c r="F247" i="1"/>
  <c r="K246" i="1"/>
  <c r="J246" i="1"/>
  <c r="I246" i="1"/>
  <c r="H246" i="1"/>
  <c r="G246" i="1"/>
  <c r="F246" i="1"/>
  <c r="K245" i="1"/>
  <c r="J245" i="1"/>
  <c r="I245" i="1"/>
  <c r="H245" i="1"/>
  <c r="G245" i="1"/>
  <c r="F245" i="1"/>
  <c r="K244" i="1"/>
  <c r="J244" i="1"/>
  <c r="I244" i="1"/>
  <c r="H244" i="1"/>
  <c r="G244" i="1"/>
  <c r="F244" i="1"/>
  <c r="K243" i="1"/>
  <c r="J243" i="1"/>
  <c r="I243" i="1"/>
  <c r="H243" i="1"/>
  <c r="G243" i="1"/>
  <c r="F243" i="1"/>
  <c r="K242" i="1"/>
  <c r="J242" i="1"/>
  <c r="I242" i="1"/>
  <c r="H242" i="1"/>
  <c r="G242" i="1"/>
  <c r="F242" i="1"/>
  <c r="K241" i="1"/>
  <c r="J241" i="1"/>
  <c r="I241" i="1"/>
  <c r="H241" i="1"/>
  <c r="G241" i="1"/>
  <c r="F241" i="1"/>
  <c r="K233" i="1"/>
  <c r="J233" i="1"/>
  <c r="I233" i="1"/>
  <c r="H233" i="1"/>
  <c r="G233" i="1"/>
  <c r="F233" i="1"/>
  <c r="K230" i="1"/>
  <c r="J230" i="1"/>
  <c r="I230" i="1"/>
  <c r="H230" i="1"/>
  <c r="G230" i="1"/>
  <c r="F230" i="1"/>
  <c r="K228" i="1"/>
  <c r="J228" i="1"/>
  <c r="I228" i="1"/>
  <c r="H228" i="1"/>
  <c r="G228" i="1"/>
  <c r="F228" i="1"/>
  <c r="K226" i="1"/>
  <c r="J226" i="1"/>
  <c r="I226" i="1"/>
  <c r="H226" i="1"/>
  <c r="G226" i="1"/>
  <c r="F226" i="1"/>
  <c r="K224" i="1"/>
  <c r="J224" i="1"/>
  <c r="I224" i="1"/>
  <c r="H224" i="1"/>
  <c r="G224" i="1"/>
  <c r="F224" i="1"/>
  <c r="K218" i="1"/>
  <c r="J218" i="1"/>
  <c r="I218" i="1"/>
  <c r="H218" i="1"/>
  <c r="G218" i="1"/>
  <c r="F218" i="1"/>
  <c r="K216" i="1"/>
  <c r="J216" i="1"/>
  <c r="I216" i="1"/>
  <c r="H216" i="1"/>
  <c r="G216" i="1"/>
  <c r="F216" i="1"/>
  <c r="K214" i="1"/>
  <c r="K210" i="1" s="1"/>
  <c r="J214" i="1"/>
  <c r="I214" i="1"/>
  <c r="I210" i="1" s="1"/>
  <c r="H214" i="1"/>
  <c r="G214" i="1"/>
  <c r="F214" i="1"/>
  <c r="F210" i="1" s="1"/>
  <c r="J210" i="1"/>
  <c r="H210" i="1"/>
  <c r="G210" i="1"/>
  <c r="K207" i="1"/>
  <c r="J207" i="1"/>
  <c r="I207" i="1"/>
  <c r="H207" i="1"/>
  <c r="G207" i="1"/>
  <c r="F207" i="1"/>
  <c r="K205" i="1"/>
  <c r="J205" i="1"/>
  <c r="I205" i="1"/>
  <c r="H205" i="1"/>
  <c r="G205" i="1"/>
  <c r="F205" i="1"/>
  <c r="K188" i="1"/>
  <c r="J188" i="1"/>
  <c r="I188" i="1"/>
  <c r="H188" i="1"/>
  <c r="G188" i="1"/>
  <c r="F188" i="1"/>
  <c r="K187" i="1"/>
  <c r="J187" i="1"/>
  <c r="I187" i="1"/>
  <c r="H187" i="1"/>
  <c r="G187" i="1"/>
  <c r="F187" i="1"/>
  <c r="K183" i="1"/>
  <c r="J183" i="1"/>
  <c r="I183" i="1"/>
  <c r="H183" i="1"/>
  <c r="G183" i="1"/>
  <c r="F183" i="1"/>
  <c r="K178" i="1"/>
  <c r="J178" i="1"/>
  <c r="I178" i="1"/>
  <c r="H178" i="1"/>
  <c r="G178" i="1"/>
  <c r="F178" i="1"/>
  <c r="K177" i="1"/>
  <c r="J177" i="1"/>
  <c r="I177" i="1"/>
  <c r="H177" i="1"/>
  <c r="G177" i="1"/>
  <c r="F177" i="1"/>
  <c r="K176" i="1"/>
  <c r="J176" i="1"/>
  <c r="I176" i="1"/>
  <c r="H176" i="1"/>
  <c r="G176" i="1"/>
  <c r="F176" i="1"/>
  <c r="K175" i="1"/>
  <c r="J175" i="1"/>
  <c r="I175" i="1"/>
  <c r="H175" i="1"/>
  <c r="G175" i="1"/>
  <c r="F175" i="1"/>
  <c r="K174" i="1"/>
  <c r="J174" i="1"/>
  <c r="I174" i="1"/>
  <c r="H174" i="1"/>
  <c r="G174" i="1"/>
  <c r="F174" i="1"/>
  <c r="K173" i="1"/>
  <c r="J173" i="1"/>
  <c r="I173" i="1"/>
  <c r="H173" i="1"/>
  <c r="G173" i="1"/>
  <c r="F173" i="1"/>
  <c r="K172" i="1"/>
  <c r="J172" i="1"/>
  <c r="I172" i="1"/>
  <c r="H172" i="1"/>
  <c r="G172" i="1"/>
  <c r="F172" i="1"/>
  <c r="K170" i="1"/>
  <c r="J170" i="1"/>
  <c r="J398" i="1" s="1"/>
  <c r="J518" i="1" s="1"/>
  <c r="I170" i="1"/>
  <c r="H170" i="1"/>
  <c r="H398" i="1" s="1"/>
  <c r="H518" i="1" s="1"/>
  <c r="G170" i="1"/>
  <c r="G398" i="1" s="1"/>
  <c r="G518" i="1" s="1"/>
  <c r="F170" i="1"/>
  <c r="F398" i="1" s="1"/>
  <c r="F518" i="1" s="1"/>
  <c r="K169" i="1"/>
  <c r="K397" i="1" s="1"/>
  <c r="K517" i="1" s="1"/>
  <c r="J169" i="1"/>
  <c r="I169" i="1"/>
  <c r="I397" i="1" s="1"/>
  <c r="I517" i="1" s="1"/>
  <c r="H169" i="1"/>
  <c r="H397" i="1" s="1"/>
  <c r="H517" i="1" s="1"/>
  <c r="G169" i="1"/>
  <c r="G397" i="1" s="1"/>
  <c r="G517" i="1" s="1"/>
  <c r="F169" i="1"/>
  <c r="K168" i="1"/>
  <c r="K396" i="1" s="1"/>
  <c r="K437" i="1" s="1"/>
  <c r="J168" i="1"/>
  <c r="J396" i="1" s="1"/>
  <c r="J437" i="1" s="1"/>
  <c r="I168" i="1"/>
  <c r="I396" i="1" s="1"/>
  <c r="I437" i="1" s="1"/>
  <c r="H168" i="1"/>
  <c r="H396" i="1" s="1"/>
  <c r="H437" i="1" s="1"/>
  <c r="G168" i="1"/>
  <c r="F168" i="1"/>
  <c r="K165" i="1"/>
  <c r="J165" i="1"/>
  <c r="I165" i="1"/>
  <c r="H165" i="1"/>
  <c r="G165" i="1"/>
  <c r="F165" i="1"/>
  <c r="K164" i="1"/>
  <c r="J164" i="1"/>
  <c r="I164" i="1"/>
  <c r="H164" i="1"/>
  <c r="G164" i="1"/>
  <c r="F164" i="1"/>
  <c r="K163" i="1"/>
  <c r="J163" i="1"/>
  <c r="I163" i="1"/>
  <c r="H163" i="1"/>
  <c r="G163" i="1"/>
  <c r="F163" i="1"/>
  <c r="K162" i="1"/>
  <c r="J162" i="1"/>
  <c r="I162" i="1"/>
  <c r="H162" i="1"/>
  <c r="G162" i="1"/>
  <c r="F162" i="1"/>
  <c r="K161" i="1"/>
  <c r="J161" i="1"/>
  <c r="I161" i="1"/>
  <c r="H161" i="1"/>
  <c r="G161" i="1"/>
  <c r="F161" i="1"/>
  <c r="K160" i="1"/>
  <c r="J160" i="1"/>
  <c r="I160" i="1"/>
  <c r="H160" i="1"/>
  <c r="G160" i="1"/>
  <c r="F160" i="1"/>
  <c r="K158" i="1"/>
  <c r="J158" i="1"/>
  <c r="I158" i="1"/>
  <c r="H158" i="1"/>
  <c r="G158" i="1"/>
  <c r="F158" i="1"/>
  <c r="K156" i="1"/>
  <c r="J156" i="1"/>
  <c r="I156" i="1"/>
  <c r="H156" i="1"/>
  <c r="G156" i="1"/>
  <c r="F156" i="1"/>
  <c r="K155" i="1"/>
  <c r="J155" i="1"/>
  <c r="I155" i="1"/>
  <c r="H155" i="1"/>
  <c r="G155" i="1"/>
  <c r="F155" i="1"/>
  <c r="K154" i="1"/>
  <c r="J154" i="1"/>
  <c r="I154" i="1"/>
  <c r="H154" i="1"/>
  <c r="G154" i="1"/>
  <c r="F154" i="1"/>
  <c r="K153" i="1"/>
  <c r="J153" i="1"/>
  <c r="I153" i="1"/>
  <c r="H153" i="1"/>
  <c r="G153" i="1"/>
  <c r="F153" i="1"/>
  <c r="K152" i="1"/>
  <c r="J152" i="1"/>
  <c r="I152" i="1"/>
  <c r="H152" i="1"/>
  <c r="G152" i="1"/>
  <c r="F152" i="1"/>
  <c r="K151" i="1"/>
  <c r="J151" i="1"/>
  <c r="I151" i="1"/>
  <c r="H151" i="1"/>
  <c r="G151" i="1"/>
  <c r="F151" i="1"/>
  <c r="K150" i="1"/>
  <c r="J150" i="1"/>
  <c r="I150" i="1"/>
  <c r="H150" i="1"/>
  <c r="G150" i="1"/>
  <c r="F150" i="1"/>
  <c r="K134" i="1"/>
  <c r="J134" i="1"/>
  <c r="I134" i="1"/>
  <c r="H134" i="1"/>
  <c r="G134" i="1"/>
  <c r="F134" i="1"/>
  <c r="K133" i="1"/>
  <c r="J133" i="1"/>
  <c r="I133" i="1"/>
  <c r="H133" i="1"/>
  <c r="G133" i="1"/>
  <c r="F133" i="1"/>
  <c r="K132" i="1"/>
  <c r="K139" i="1" s="1" a="1"/>
  <c r="K139" i="1" s="1"/>
  <c r="J132" i="1"/>
  <c r="J139" i="1" s="1" a="1"/>
  <c r="J139" i="1" s="1"/>
  <c r="I132" i="1"/>
  <c r="I139" i="1" s="1" a="1"/>
  <c r="I139" i="1" s="1"/>
  <c r="H132" i="1"/>
  <c r="H139" i="1" s="1" a="1"/>
  <c r="H139" i="1" s="1"/>
  <c r="G132" i="1"/>
  <c r="G139" i="1" s="1" a="1"/>
  <c r="G139" i="1" s="1"/>
  <c r="F132" i="1"/>
  <c r="F139" i="1" s="1" a="1"/>
  <c r="F139" i="1" s="1"/>
  <c r="K131" i="1"/>
  <c r="K138" i="1" s="1" a="1"/>
  <c r="K138" i="1" s="1"/>
  <c r="J131" i="1"/>
  <c r="J138" i="1" s="1" a="1"/>
  <c r="J138" i="1" s="1"/>
  <c r="I131" i="1"/>
  <c r="I138" i="1" s="1" a="1"/>
  <c r="I138" i="1" s="1"/>
  <c r="H131" i="1"/>
  <c r="H138" i="1" s="1" a="1"/>
  <c r="H138" i="1" s="1"/>
  <c r="G131" i="1"/>
  <c r="F131" i="1"/>
  <c r="F138" i="1" s="1" a="1"/>
  <c r="F138" i="1" s="1"/>
  <c r="K130" i="1"/>
  <c r="K137" i="1" s="1" a="1"/>
  <c r="K137" i="1" s="1"/>
  <c r="J130" i="1"/>
  <c r="J137" i="1" s="1" a="1"/>
  <c r="J137" i="1" s="1"/>
  <c r="I130" i="1"/>
  <c r="I137" i="1" s="1" a="1"/>
  <c r="I137" i="1" s="1"/>
  <c r="H130" i="1"/>
  <c r="H137" i="1" s="1" a="1"/>
  <c r="H137" i="1" s="1"/>
  <c r="G130" i="1"/>
  <c r="G137" i="1" s="1" a="1"/>
  <c r="G137" i="1" s="1"/>
  <c r="F130" i="1"/>
  <c r="F137" i="1" s="1" a="1"/>
  <c r="F137" i="1" s="1"/>
  <c r="K129" i="1"/>
  <c r="K136" i="1" s="1" a="1"/>
  <c r="K136" i="1" s="1"/>
  <c r="J129" i="1"/>
  <c r="J136" i="1" s="1" a="1"/>
  <c r="J136" i="1" s="1"/>
  <c r="I129" i="1"/>
  <c r="I136" i="1" s="1" a="1"/>
  <c r="I136" i="1" s="1"/>
  <c r="H129" i="1"/>
  <c r="H136" i="1" s="1" a="1"/>
  <c r="H136" i="1" s="1"/>
  <c r="G129" i="1"/>
  <c r="G136" i="1" s="1" a="1"/>
  <c r="G136" i="1" s="1"/>
  <c r="F129" i="1"/>
  <c r="F136" i="1" s="1" a="1"/>
  <c r="F136" i="1" s="1"/>
  <c r="K95" i="1"/>
  <c r="K127" i="1" s="1"/>
  <c r="J95" i="1"/>
  <c r="J323" i="1" s="1"/>
  <c r="J478" i="1" s="1"/>
  <c r="I95" i="1"/>
  <c r="H95" i="1"/>
  <c r="G95" i="1"/>
  <c r="F95" i="1"/>
  <c r="K94" i="1"/>
  <c r="J94" i="1"/>
  <c r="J126" i="1" s="1"/>
  <c r="I94" i="1"/>
  <c r="H94" i="1"/>
  <c r="H126" i="1" s="1"/>
  <c r="G94" i="1"/>
  <c r="G322" i="1" s="1"/>
  <c r="G477" i="1" s="1"/>
  <c r="F94" i="1"/>
  <c r="K93" i="1"/>
  <c r="J93" i="1"/>
  <c r="J321" i="1" s="1"/>
  <c r="J476" i="1" s="1"/>
  <c r="I93" i="1"/>
  <c r="H93" i="1"/>
  <c r="G93" i="1"/>
  <c r="G321" i="1" s="1"/>
  <c r="G476" i="1" s="1"/>
  <c r="F93" i="1"/>
  <c r="F321" i="1" s="1"/>
  <c r="F476" i="1" s="1"/>
  <c r="K92" i="1"/>
  <c r="K124" i="1" s="1"/>
  <c r="J92" i="1"/>
  <c r="I92" i="1"/>
  <c r="I124" i="1" s="1"/>
  <c r="H92" i="1"/>
  <c r="H124" i="1" s="1"/>
  <c r="G92" i="1"/>
  <c r="G124" i="1" s="1"/>
  <c r="F92" i="1"/>
  <c r="K91" i="1"/>
  <c r="J91" i="1"/>
  <c r="I91" i="1"/>
  <c r="H91" i="1"/>
  <c r="G91" i="1"/>
  <c r="F91" i="1"/>
  <c r="K90" i="1"/>
  <c r="K318" i="1" s="1"/>
  <c r="K473" i="1" s="1"/>
  <c r="J90" i="1"/>
  <c r="J318" i="1" s="1"/>
  <c r="J473" i="1" s="1"/>
  <c r="I90" i="1"/>
  <c r="H90" i="1"/>
  <c r="G90" i="1"/>
  <c r="G122" i="1" s="1"/>
  <c r="F90" i="1"/>
  <c r="F122" i="1" s="1"/>
  <c r="K89" i="1"/>
  <c r="K317" i="1" s="1"/>
  <c r="K472" i="1" s="1"/>
  <c r="J89" i="1"/>
  <c r="I89" i="1"/>
  <c r="I121" i="1" s="1"/>
  <c r="H89" i="1"/>
  <c r="H121" i="1" s="1"/>
  <c r="G89" i="1"/>
  <c r="G121" i="1" s="1"/>
  <c r="F89" i="1"/>
  <c r="K88" i="1"/>
  <c r="J88" i="1"/>
  <c r="I88" i="1"/>
  <c r="H88" i="1"/>
  <c r="G88" i="1"/>
  <c r="F88" i="1"/>
  <c r="F120" i="1" s="1"/>
  <c r="K87" i="1"/>
  <c r="K119" i="1" s="1"/>
  <c r="J87" i="1"/>
  <c r="I87" i="1"/>
  <c r="I119" i="1" s="1"/>
  <c r="H87" i="1"/>
  <c r="G87" i="1"/>
  <c r="G119" i="1" s="1"/>
  <c r="F87" i="1"/>
  <c r="F119" i="1" s="1"/>
  <c r="K86" i="1"/>
  <c r="K118" i="1" s="1"/>
  <c r="J86" i="1"/>
  <c r="J118" i="1" s="1"/>
  <c r="I86" i="1"/>
  <c r="H86" i="1"/>
  <c r="G86" i="1"/>
  <c r="G118" i="1" s="1"/>
  <c r="F86" i="1"/>
  <c r="F118" i="1" s="1"/>
  <c r="K85" i="1"/>
  <c r="K313" i="1" s="1"/>
  <c r="K418" i="1" s="1"/>
  <c r="J85" i="1"/>
  <c r="J117" i="1" s="1"/>
  <c r="I85" i="1"/>
  <c r="I117" i="1" s="1"/>
  <c r="H85" i="1"/>
  <c r="H117" i="1" s="1"/>
  <c r="G85" i="1"/>
  <c r="G117" i="1" s="1"/>
  <c r="F85" i="1"/>
  <c r="K84" i="1"/>
  <c r="J84" i="1"/>
  <c r="I84" i="1"/>
  <c r="I116" i="1" s="1"/>
  <c r="H84" i="1"/>
  <c r="H116" i="1" s="1"/>
  <c r="G84" i="1"/>
  <c r="G116" i="1" s="1"/>
  <c r="F84" i="1"/>
  <c r="K83" i="1"/>
  <c r="K115" i="1" s="1"/>
  <c r="J83" i="1"/>
  <c r="J115" i="1" s="1"/>
  <c r="I83" i="1"/>
  <c r="I115" i="1" s="1"/>
  <c r="H83" i="1"/>
  <c r="H115" i="1" s="1"/>
  <c r="G83" i="1"/>
  <c r="G115" i="1" s="1"/>
  <c r="F83" i="1"/>
  <c r="F115" i="1" s="1"/>
  <c r="K82" i="1"/>
  <c r="K114" i="1" s="1"/>
  <c r="J82" i="1"/>
  <c r="J114" i="1" s="1"/>
  <c r="I82" i="1"/>
  <c r="I114" i="1" s="1"/>
  <c r="H82" i="1"/>
  <c r="H114" i="1" s="1"/>
  <c r="G82" i="1"/>
  <c r="G114" i="1" s="1"/>
  <c r="F82" i="1"/>
  <c r="F114" i="1" s="1"/>
  <c r="K81" i="1"/>
  <c r="K113" i="1" s="1"/>
  <c r="J81" i="1"/>
  <c r="J113" i="1" s="1"/>
  <c r="I81" i="1"/>
  <c r="I113" i="1" s="1"/>
  <c r="H81" i="1"/>
  <c r="H113" i="1" s="1"/>
  <c r="G81" i="1"/>
  <c r="G113" i="1" s="1"/>
  <c r="F81" i="1"/>
  <c r="F113" i="1" s="1"/>
  <c r="K75" i="1"/>
  <c r="J75" i="1"/>
  <c r="I75" i="1"/>
  <c r="H75" i="1"/>
  <c r="G75" i="1"/>
  <c r="F75" i="1"/>
  <c r="K74" i="1"/>
  <c r="J74" i="1"/>
  <c r="I74" i="1"/>
  <c r="H74" i="1"/>
  <c r="G74" i="1"/>
  <c r="F74" i="1"/>
  <c r="K71" i="1"/>
  <c r="J71" i="1"/>
  <c r="I71" i="1"/>
  <c r="H71" i="1"/>
  <c r="G71" i="1"/>
  <c r="F71" i="1"/>
  <c r="K70" i="1"/>
  <c r="J70" i="1"/>
  <c r="I70" i="1"/>
  <c r="H70" i="1"/>
  <c r="G70" i="1"/>
  <c r="F70" i="1"/>
  <c r="K69" i="1"/>
  <c r="J69" i="1"/>
  <c r="I69" i="1"/>
  <c r="H69" i="1"/>
  <c r="G69" i="1"/>
  <c r="F69" i="1"/>
  <c r="K67" i="1"/>
  <c r="J67" i="1"/>
  <c r="I67" i="1"/>
  <c r="H67" i="1"/>
  <c r="G67" i="1"/>
  <c r="F67" i="1"/>
  <c r="K66" i="1"/>
  <c r="J66" i="1"/>
  <c r="I66" i="1"/>
  <c r="H66" i="1"/>
  <c r="G66" i="1"/>
  <c r="F66" i="1"/>
  <c r="K65" i="1"/>
  <c r="J65" i="1"/>
  <c r="I65" i="1"/>
  <c r="H65" i="1"/>
  <c r="G65" i="1"/>
  <c r="F65" i="1"/>
  <c r="K63" i="1"/>
  <c r="J63" i="1"/>
  <c r="I63" i="1"/>
  <c r="H63" i="1"/>
  <c r="G63" i="1"/>
  <c r="F63" i="1"/>
  <c r="I2043" i="1" a="1"/>
  <c r="I2043" i="1" s="1"/>
  <c r="G2042" i="1" a="1"/>
  <c r="G2042" i="1" s="1"/>
  <c r="H2038" i="1" a="1"/>
  <c r="H2038" i="1" s="1"/>
  <c r="G2044" i="1" a="1"/>
  <c r="G2044" i="1" s="1"/>
  <c r="J2039" i="1" a="1"/>
  <c r="J2039" i="1" s="1"/>
  <c r="H2043" i="1" a="1"/>
  <c r="H2043" i="1" s="1"/>
  <c r="I2042" i="1" a="1"/>
  <c r="I2042" i="1" s="1"/>
  <c r="H2040" i="1" a="1"/>
  <c r="H2040" i="1" s="1"/>
  <c r="F2041" i="1" a="1"/>
  <c r="F2041" i="1" s="1"/>
  <c r="J2044" i="1" a="1"/>
  <c r="J2044" i="1" s="1"/>
  <c r="G2041" i="1" a="1"/>
  <c r="G2041" i="1" s="1"/>
  <c r="I2041" i="1" a="1"/>
  <c r="I2041" i="1" s="1"/>
  <c r="J2043" i="1" a="1"/>
  <c r="J2043" i="1" s="1"/>
  <c r="K2040" i="1" a="1"/>
  <c r="K2040" i="1" s="1"/>
  <c r="K2042" i="1" a="1"/>
  <c r="K2042" i="1" s="1"/>
  <c r="K2043" i="1" a="1"/>
  <c r="K2043" i="1" s="1"/>
  <c r="I2038" i="1" a="1"/>
  <c r="I2038" i="1" s="1"/>
  <c r="G2039" i="1" a="1"/>
  <c r="G2039" i="1" s="1"/>
  <c r="K2039" i="1" a="1"/>
  <c r="K2039" i="1" s="1"/>
  <c r="G2043" i="1" a="1"/>
  <c r="G2043" i="1" s="1"/>
  <c r="H2041" i="1" a="1"/>
  <c r="H2041" i="1" s="1"/>
  <c r="G2040" i="1" a="1"/>
  <c r="G2040" i="1" s="1"/>
  <c r="F2040" i="1" a="1"/>
  <c r="F2040" i="1" s="1"/>
  <c r="J2042" i="1" a="1"/>
  <c r="J2042" i="1" s="1"/>
  <c r="K2038" i="1" a="1"/>
  <c r="K2038" i="1" s="1"/>
  <c r="F2043" i="1" a="1"/>
  <c r="F2043" i="1" s="1"/>
  <c r="H2039" i="1" a="1"/>
  <c r="H2039" i="1" s="1"/>
  <c r="J2041" i="1" a="1"/>
  <c r="J2041" i="1" s="1"/>
  <c r="J2040" i="1" a="1"/>
  <c r="J2040" i="1" s="1"/>
  <c r="K2044" i="1" a="1"/>
  <c r="K2044" i="1" s="1"/>
  <c r="F2044" i="1" a="1"/>
  <c r="F2044" i="1" s="1"/>
  <c r="I2044" i="1" a="1"/>
  <c r="I2044" i="1" s="1"/>
  <c r="H2044" i="1" a="1"/>
  <c r="H2044" i="1" s="1"/>
  <c r="F2039" i="1" a="1"/>
  <c r="F2039" i="1" s="1"/>
  <c r="I2039" i="1" a="1"/>
  <c r="I2039" i="1" s="1"/>
  <c r="J2038" i="1" a="1"/>
  <c r="J2038" i="1" s="1"/>
  <c r="H2042" i="1" a="1"/>
  <c r="H2042" i="1" s="1"/>
  <c r="G2038" i="1" a="1"/>
  <c r="G2038" i="1" s="1"/>
  <c r="F2042" i="1" a="1"/>
  <c r="F2042" i="1" s="1"/>
  <c r="I2040" i="1" a="1"/>
  <c r="I2040" i="1" s="1"/>
  <c r="K2041" i="1" a="1"/>
  <c r="K2041" i="1" s="1"/>
  <c r="F2033" i="1" a="1"/>
  <c r="F2033" i="1" s="1"/>
  <c r="G2033" i="1" a="1"/>
  <c r="G2033" i="1" s="1"/>
  <c r="H2035" i="1" a="1"/>
  <c r="H2035" i="1" s="1"/>
  <c r="K2034" i="1" a="1"/>
  <c r="K2034" i="1" s="1"/>
  <c r="J2034" i="1" a="1"/>
  <c r="J2034" i="1" s="1"/>
  <c r="J2033" i="1" a="1"/>
  <c r="J2033" i="1" s="1"/>
  <c r="J2027" i="1" a="1"/>
  <c r="J2027" i="1" s="1"/>
  <c r="J2026" i="1" s="1" a="1"/>
  <c r="J2026" i="1" s="1"/>
  <c r="K2029" i="1" a="1"/>
  <c r="K2029" i="1"/>
  <c r="I2033" i="1" a="1"/>
  <c r="I2033" i="1" s="1"/>
  <c r="I2032" i="1" a="1"/>
  <c r="I2032" i="1" s="1"/>
  <c r="I2031" i="1" a="1"/>
  <c r="I2031" i="1" s="1"/>
  <c r="F2030" i="1" a="1"/>
  <c r="F2030" i="1" s="1"/>
  <c r="G2029" i="1" a="1"/>
  <c r="G2029" i="1" s="1"/>
  <c r="G2034" i="1" a="1"/>
  <c r="G2034" i="1" s="1"/>
  <c r="H2031" i="1" a="1"/>
  <c r="H2031" i="1" s="1"/>
  <c r="I2029" i="1" a="1"/>
  <c r="I2029" i="1" s="1"/>
  <c r="I2027" i="1" a="1"/>
  <c r="I2027" i="1" s="1"/>
  <c r="I2026" i="1" s="1" a="1"/>
  <c r="I2026" i="1" s="1"/>
  <c r="K2027" i="1" a="1"/>
  <c r="K2027" i="1" s="1"/>
  <c r="K2026" i="1" s="1" a="1"/>
  <c r="K2026" i="1" s="1"/>
  <c r="H2029" i="1" a="1"/>
  <c r="H2029" i="1" s="1"/>
  <c r="H2030" i="1" a="1"/>
  <c r="H2030" i="1" s="1"/>
  <c r="J2030" i="1" a="1"/>
  <c r="J2030" i="1" s="1"/>
  <c r="G2036" i="1" a="1"/>
  <c r="G2036" i="1" s="1"/>
  <c r="J2032" i="1" a="1"/>
  <c r="J2032" i="1" s="1"/>
  <c r="F2036" i="1" a="1"/>
  <c r="F2036" i="1" s="1"/>
  <c r="K2033" i="1" a="1"/>
  <c r="K2033" i="1" s="1"/>
  <c r="F2035" i="1" a="1"/>
  <c r="F2035" i="1" s="1"/>
  <c r="I2030" i="1" a="1"/>
  <c r="I2030" i="1" s="1"/>
  <c r="H2033" i="1" a="1"/>
  <c r="H2033" i="1" s="1"/>
  <c r="I2034" i="1" a="1"/>
  <c r="I2034" i="1" s="1"/>
  <c r="F2027" i="1" a="1"/>
  <c r="F2027" i="1" s="1"/>
  <c r="F2026" i="1" s="1" a="1"/>
  <c r="F2026" i="1" s="1"/>
  <c r="F2038" i="1" a="1"/>
  <c r="F2038" i="1"/>
  <c r="F2037" i="1" a="1"/>
  <c r="F2037" i="1" s="1"/>
  <c r="H2036" i="1" a="1"/>
  <c r="H2036" i="1" s="1"/>
  <c r="K2037" i="1" a="1"/>
  <c r="K2037" i="1" s="1"/>
  <c r="I2037" i="1" a="1"/>
  <c r="I2037" i="1" s="1"/>
  <c r="F2031" i="1" a="1"/>
  <c r="F2031" i="1" s="1"/>
  <c r="K2031" i="1" a="1"/>
  <c r="K2031" i="1" s="1"/>
  <c r="J2037" i="1" a="1"/>
  <c r="J2037" i="1" s="1"/>
  <c r="G2031" i="1" a="1"/>
  <c r="G2031" i="1" s="1"/>
  <c r="H2037" i="1" a="1"/>
  <c r="H2037" i="1" s="1"/>
  <c r="G2037" i="1" a="1"/>
  <c r="G2037" i="1" s="1"/>
  <c r="F2032" i="1" a="1"/>
  <c r="F2032" i="1" s="1"/>
  <c r="I2036" i="1" a="1"/>
  <c r="I2036" i="1" s="1"/>
  <c r="G2035" i="1" a="1"/>
  <c r="G2035" i="1" s="1"/>
  <c r="H2032" i="1" a="1"/>
  <c r="H2032" i="1" s="1"/>
  <c r="H2034" i="1" a="1"/>
  <c r="H2034" i="1" s="1"/>
  <c r="G2032" i="1" a="1"/>
  <c r="G2032" i="1" s="1"/>
  <c r="G2030" i="1" a="1"/>
  <c r="G2030" i="1" s="1"/>
  <c r="K2030" i="1" a="1"/>
  <c r="K2030" i="1" s="1"/>
  <c r="J2029" i="1" a="1"/>
  <c r="J2029" i="1" s="1"/>
  <c r="J2035" i="1" a="1"/>
  <c r="J2035" i="1" s="1"/>
  <c r="G2027" i="1" a="1"/>
  <c r="G2027" i="1" s="1"/>
  <c r="G2026" i="1" s="1" a="1"/>
  <c r="G2026" i="1" s="1"/>
  <c r="F2029" i="1" a="1"/>
  <c r="F2029" i="1"/>
  <c r="K2036" i="1" a="1"/>
  <c r="K2036" i="1" s="1"/>
  <c r="F2034" i="1" a="1"/>
  <c r="F2034" i="1" s="1"/>
  <c r="K2032" i="1" a="1"/>
  <c r="K2032" i="1" s="1"/>
  <c r="H2027" i="1" a="1"/>
  <c r="H2027" i="1" s="1"/>
  <c r="H2026" i="1" s="1" a="1"/>
  <c r="H2026" i="1" s="1"/>
  <c r="J2031" i="1" a="1"/>
  <c r="J2031" i="1" s="1"/>
  <c r="J2036" i="1" a="1"/>
  <c r="J2036" i="1"/>
  <c r="K2035" i="1" a="1"/>
  <c r="K2035" i="1" s="1"/>
  <c r="I2035" i="1" a="1"/>
  <c r="I2035" i="1" s="1"/>
  <c r="G2018" i="1" a="1"/>
  <c r="G2018" i="1" s="1"/>
  <c r="G2021" i="1" a="1"/>
  <c r="G2021" i="1" s="1"/>
  <c r="J2021" i="1" a="1"/>
  <c r="J2021" i="1" s="1"/>
  <c r="F2024" i="1" a="1"/>
  <c r="F2024" i="1" s="1"/>
  <c r="F2023" i="1" s="1" a="1"/>
  <c r="F2023" i="1" s="1"/>
  <c r="I2024" i="1" a="1"/>
  <c r="I2024" i="1" s="1"/>
  <c r="I2023" i="1" s="1" a="1"/>
  <c r="I2023" i="1" s="1"/>
  <c r="G2020" i="1" a="1"/>
  <c r="G2020" i="1" s="1"/>
  <c r="K2024" i="1" a="1"/>
  <c r="K2024" i="1" s="1"/>
  <c r="K2023" i="1" s="1" a="1"/>
  <c r="K2023" i="1" s="1"/>
  <c r="K2021" i="1" a="1"/>
  <c r="K2021" i="1"/>
  <c r="K2020" i="1" a="1"/>
  <c r="K2020" i="1" s="1"/>
  <c r="H2020" i="1" a="1"/>
  <c r="H2020" i="1" s="1"/>
  <c r="J2018" i="1" a="1"/>
  <c r="J2018" i="1" s="1"/>
  <c r="J2020" i="1" a="1"/>
  <c r="J2020" i="1" s="1"/>
  <c r="F2020" i="1" a="1"/>
  <c r="F2020" i="1" s="1"/>
  <c r="H2018" i="1" a="1"/>
  <c r="H2018" i="1" s="1"/>
  <c r="K2018" i="1" a="1"/>
  <c r="K2018" i="1" s="1"/>
  <c r="J2024" i="1" a="1"/>
  <c r="J2024" i="1" s="1"/>
  <c r="J2023" i="1" s="1" a="1"/>
  <c r="J2023" i="1" s="1"/>
  <c r="I2020" i="1" a="1"/>
  <c r="I2020" i="1"/>
  <c r="I2021" i="1" a="1"/>
  <c r="I2021" i="1" s="1"/>
  <c r="H2021" i="1" a="1"/>
  <c r="H2021" i="1" s="1"/>
  <c r="H2024" i="1" a="1"/>
  <c r="H2024" i="1" s="1"/>
  <c r="G2024" i="1" a="1"/>
  <c r="G2024" i="1" s="1"/>
  <c r="G2023" i="1" s="1" a="1"/>
  <c r="G2023" i="1" s="1"/>
  <c r="I2018" i="1" a="1"/>
  <c r="I2018" i="1" s="1"/>
  <c r="F2021" i="1" a="1"/>
  <c r="F2021" i="1"/>
  <c r="F2018" i="1" a="1"/>
  <c r="F2018" i="1" s="1"/>
  <c r="H2023" i="1" a="1"/>
  <c r="H2023" i="1" s="1"/>
  <c r="G1704" i="1" a="1"/>
  <c r="G1704" i="1" s="1"/>
  <c r="K1703" i="1" a="1"/>
  <c r="K1703" i="1" s="1"/>
  <c r="F1704" i="1" a="1"/>
  <c r="F1704" i="1" s="1"/>
  <c r="J1703" i="1" a="1"/>
  <c r="J1703" i="1" s="1"/>
  <c r="G1703" i="1" a="1"/>
  <c r="G1703" i="1" s="1"/>
  <c r="J1704" i="1" a="1"/>
  <c r="J1704" i="1" s="1"/>
  <c r="I1703" i="1" a="1"/>
  <c r="I1703" i="1" s="1"/>
  <c r="H1703" i="1" a="1"/>
  <c r="H1703" i="1" s="1"/>
  <c r="K1704" i="1" a="1"/>
  <c r="K1704" i="1" s="1"/>
  <c r="F1703" i="1" a="1"/>
  <c r="F1703" i="1" s="1"/>
  <c r="H1704" i="1" a="1"/>
  <c r="H1704" i="1" s="1"/>
  <c r="I1704" i="1" a="1"/>
  <c r="I1704" i="1" s="1"/>
  <c r="H738" i="1" a="1"/>
  <c r="H738" i="1" s="1"/>
  <c r="J738" i="1" a="1"/>
  <c r="J738" i="1" s="1"/>
  <c r="I741" i="1" a="1"/>
  <c r="I741" i="1" s="1"/>
  <c r="K738" i="1" a="1"/>
  <c r="K738" i="1" s="1"/>
  <c r="J741" i="1" a="1"/>
  <c r="J741" i="1" s="1"/>
  <c r="G741" i="1" a="1"/>
  <c r="G741" i="1" s="1"/>
  <c r="G738" i="1" a="1"/>
  <c r="G738" i="1" s="1"/>
  <c r="F741" i="1" a="1"/>
  <c r="F741" i="1" s="1"/>
  <c r="H741" i="1" a="1"/>
  <c r="H741" i="1" s="1"/>
  <c r="I738" i="1" a="1"/>
  <c r="I738" i="1" s="1"/>
  <c r="K741" i="1" a="1"/>
  <c r="K741" i="1" s="1"/>
  <c r="F738" i="1" a="1"/>
  <c r="F738" i="1" s="1"/>
  <c r="G717" i="1" a="1"/>
  <c r="G717" i="1"/>
  <c r="G718" i="1" a="1"/>
  <c r="G718" i="1" s="1"/>
  <c r="H722" i="1" a="1"/>
  <c r="H722" i="1" s="1"/>
  <c r="K717" i="1" a="1"/>
  <c r="K717" i="1" s="1"/>
  <c r="F717" i="1" a="1"/>
  <c r="F717" i="1" s="1"/>
  <c r="I722" i="1" a="1"/>
  <c r="I722" i="1" s="1"/>
  <c r="J725" i="1" a="1"/>
  <c r="J725" i="1" s="1"/>
  <c r="J718" i="1" a="1"/>
  <c r="J718" i="1" s="1"/>
  <c r="I725" i="1" a="1"/>
  <c r="I725" i="1" s="1"/>
  <c r="K725" i="1" a="1"/>
  <c r="K725" i="1" s="1"/>
  <c r="G722" i="1" a="1"/>
  <c r="G722" i="1" s="1"/>
  <c r="K722" i="1" a="1"/>
  <c r="K722" i="1" s="1"/>
  <c r="H717" i="1" a="1"/>
  <c r="H717" i="1" s="1"/>
  <c r="F718" i="1" a="1"/>
  <c r="F718" i="1" s="1"/>
  <c r="I718" i="1" a="1"/>
  <c r="I718" i="1" s="1"/>
  <c r="I717" i="1" a="1"/>
  <c r="I717" i="1" s="1"/>
  <c r="H725" i="1" a="1"/>
  <c r="H725" i="1" s="1"/>
  <c r="G725" i="1" a="1"/>
  <c r="G725" i="1" s="1"/>
  <c r="J722" i="1" a="1"/>
  <c r="J722" i="1" s="1"/>
  <c r="H718" i="1" a="1"/>
  <c r="H718" i="1" s="1"/>
  <c r="K718" i="1" a="1"/>
  <c r="K718" i="1" s="1"/>
  <c r="F722" i="1" a="1"/>
  <c r="F722" i="1" s="1"/>
  <c r="F725" i="1" a="1"/>
  <c r="F725" i="1" s="1"/>
  <c r="J717" i="1" a="1"/>
  <c r="J717" i="1" s="1"/>
  <c r="G709" i="1" a="1"/>
  <c r="G709" i="1" s="1"/>
  <c r="K686" i="1" a="1"/>
  <c r="K686" i="1" s="1"/>
  <c r="G714" i="1" a="1"/>
  <c r="G714" i="1" s="1"/>
  <c r="F714" i="1" a="1"/>
  <c r="F714" i="1" s="1"/>
  <c r="J709" i="1" a="1"/>
  <c r="J709" i="1" s="1"/>
  <c r="F694" i="1" a="1"/>
  <c r="F694" i="1" s="1"/>
  <c r="K695" i="1" a="1"/>
  <c r="K695" i="1" s="1"/>
  <c r="G695" i="1" a="1"/>
  <c r="G695" i="1" s="1"/>
  <c r="H716" i="1" a="1"/>
  <c r="H716" i="1" s="1"/>
  <c r="H695" i="1" a="1"/>
  <c r="H695" i="1" s="1"/>
  <c r="J714" i="1" a="1"/>
  <c r="J714" i="1" s="1"/>
  <c r="H714" i="1" a="1"/>
  <c r="H714" i="1" s="1"/>
  <c r="H707" i="1" a="1"/>
  <c r="H707" i="1" s="1"/>
  <c r="I709" i="1" a="1"/>
  <c r="I709" i="1" s="1"/>
  <c r="K709" i="1" a="1"/>
  <c r="K709" i="1" s="1"/>
  <c r="G694" i="1" a="1"/>
  <c r="G694" i="1" s="1"/>
  <c r="J695" i="1" a="1"/>
  <c r="J695" i="1" s="1"/>
  <c r="I686" i="1" a="1"/>
  <c r="I686" i="1" s="1"/>
  <c r="K694" i="1" a="1"/>
  <c r="K694" i="1" s="1"/>
  <c r="I695" i="1" a="1"/>
  <c r="I695" i="1" s="1"/>
  <c r="J716" i="1" a="1"/>
  <c r="J716" i="1" s="1"/>
  <c r="J740" i="1" s="1" a="1"/>
  <c r="J740" i="1" s="1"/>
  <c r="J742" i="1" s="1" a="1"/>
  <c r="J742" i="1" s="1"/>
  <c r="H686" i="1" a="1"/>
  <c r="H686" i="1" s="1"/>
  <c r="H694" i="1" a="1"/>
  <c r="H694" i="1" s="1"/>
  <c r="G716" i="1" a="1"/>
  <c r="G716" i="1" s="1"/>
  <c r="I714" i="1" a="1"/>
  <c r="I714" i="1" s="1"/>
  <c r="H709" i="1" a="1"/>
  <c r="H709" i="1" s="1"/>
  <c r="F695" i="1" a="1"/>
  <c r="F695" i="1" s="1"/>
  <c r="J694" i="1" a="1"/>
  <c r="J694" i="1" s="1"/>
  <c r="J707" i="1" a="1"/>
  <c r="J707" i="1"/>
  <c r="F716" i="1" a="1"/>
  <c r="F716" i="1" s="1"/>
  <c r="I694" i="1" a="1"/>
  <c r="I694" i="1" s="1"/>
  <c r="F707" i="1" a="1"/>
  <c r="F707" i="1" s="1"/>
  <c r="J686" i="1" a="1"/>
  <c r="J686" i="1" s="1"/>
  <c r="K707" i="1" a="1"/>
  <c r="K707" i="1" s="1"/>
  <c r="I707" i="1" a="1"/>
  <c r="I707" i="1" s="1"/>
  <c r="K716" i="1" a="1"/>
  <c r="K716" i="1" s="1"/>
  <c r="I716" i="1" a="1"/>
  <c r="I716" i="1" s="1"/>
  <c r="K714" i="1" a="1"/>
  <c r="K714" i="1" s="1"/>
  <c r="F709" i="1" a="1"/>
  <c r="F709" i="1" s="1"/>
  <c r="G707" i="1" a="1"/>
  <c r="G707" i="1" s="1"/>
  <c r="G680" i="1" a="1"/>
  <c r="G680" i="1" s="1"/>
  <c r="I685" i="1" a="1"/>
  <c r="I685" i="1" s="1"/>
  <c r="H685" i="1" a="1"/>
  <c r="H685" i="1" s="1"/>
  <c r="G685" i="1" a="1"/>
  <c r="G685" i="1" s="1"/>
  <c r="F679" i="1" a="1"/>
  <c r="F679" i="1" s="1"/>
  <c r="J679" i="1" a="1"/>
  <c r="J679" i="1" s="1"/>
  <c r="K683" i="1" a="1"/>
  <c r="K683" i="1" s="1"/>
  <c r="H679" i="1" a="1"/>
  <c r="H679" i="1" s="1"/>
  <c r="H683" i="1" a="1"/>
  <c r="H683" i="1" s="1"/>
  <c r="I681" i="1" a="1"/>
  <c r="I681" i="1" s="1"/>
  <c r="G683" i="1" a="1"/>
  <c r="G683" i="1" s="1"/>
  <c r="K681" i="1" a="1"/>
  <c r="K681" i="1" s="1"/>
  <c r="I680" i="1" a="1"/>
  <c r="I680" i="1" s="1"/>
  <c r="J664" i="1" a="1"/>
  <c r="J664" i="1" s="1"/>
  <c r="G681" i="1" a="1"/>
  <c r="G681" i="1" s="1"/>
  <c r="H680" i="1" a="1"/>
  <c r="H680" i="1" s="1"/>
  <c r="J680" i="1" a="1"/>
  <c r="J680" i="1" s="1"/>
  <c r="K679" i="1" a="1"/>
  <c r="K679" i="1" s="1"/>
  <c r="K680" i="1" a="1"/>
  <c r="K680" i="1" s="1"/>
  <c r="I664" i="1" a="1"/>
  <c r="I664" i="1" s="1"/>
  <c r="F685" i="1" a="1"/>
  <c r="F685" i="1" s="1"/>
  <c r="J683" i="1" a="1"/>
  <c r="J683" i="1" s="1"/>
  <c r="K664" i="1" a="1"/>
  <c r="K664" i="1" s="1"/>
  <c r="G686" i="1" a="1"/>
  <c r="G686" i="1" s="1"/>
  <c r="J681" i="1" a="1"/>
  <c r="J681" i="1" s="1"/>
  <c r="F683" i="1" a="1"/>
  <c r="F683" i="1" s="1"/>
  <c r="H681" i="1" a="1"/>
  <c r="H681" i="1" s="1"/>
  <c r="F686" i="1" a="1"/>
  <c r="F686" i="1" s="1"/>
  <c r="K685" i="1" a="1"/>
  <c r="K685" i="1" s="1"/>
  <c r="J685" i="1" a="1"/>
  <c r="J685" i="1" s="1"/>
  <c r="I683" i="1" a="1"/>
  <c r="I683" i="1" s="1"/>
  <c r="F681" i="1" a="1"/>
  <c r="F681" i="1" s="1"/>
  <c r="F680" i="1" a="1"/>
  <c r="F680" i="1" s="1"/>
  <c r="I679" i="1" a="1"/>
  <c r="I679" i="1" s="1"/>
  <c r="G679" i="1" a="1"/>
  <c r="G679" i="1" s="1"/>
  <c r="I648" i="1" a="1"/>
  <c r="I648" i="1" s="1"/>
  <c r="F648" i="1" a="1"/>
  <c r="F648" i="1" s="1"/>
  <c r="G651" i="1" a="1"/>
  <c r="G651" i="1" s="1"/>
  <c r="K650" i="1" a="1"/>
  <c r="K650" i="1" s="1"/>
  <c r="F663" i="1" a="1"/>
  <c r="F663" i="1" s="1"/>
  <c r="H650" i="1" a="1"/>
  <c r="H650" i="1" s="1"/>
  <c r="K662" i="1" a="1"/>
  <c r="K662" i="1" s="1"/>
  <c r="J662" i="1" a="1"/>
  <c r="J662" i="1" s="1"/>
  <c r="H662" i="1" a="1"/>
  <c r="H662" i="1" s="1"/>
  <c r="F647" i="1" a="1"/>
  <c r="F647" i="1" s="1"/>
  <c r="K651" i="1" a="1"/>
  <c r="K651" i="1" s="1"/>
  <c r="K645" i="1" a="1"/>
  <c r="K645" i="1" s="1"/>
  <c r="I650" i="1" a="1"/>
  <c r="I650" i="1" s="1"/>
  <c r="G650" i="1" a="1"/>
  <c r="G650" i="1" s="1"/>
  <c r="F646" i="1" a="1"/>
  <c r="F646" i="1" s="1"/>
  <c r="H648" i="1" a="1"/>
  <c r="H648" i="1" s="1"/>
  <c r="H646" i="1" a="1"/>
  <c r="H646" i="1" s="1"/>
  <c r="K648" i="1" a="1"/>
  <c r="K648" i="1" s="1"/>
  <c r="H664" i="1" a="1"/>
  <c r="H664" i="1" s="1"/>
  <c r="G664" i="1" a="1"/>
  <c r="G664" i="1" s="1"/>
  <c r="F664" i="1" a="1"/>
  <c r="F664" i="1" s="1"/>
  <c r="G663" i="1" a="1"/>
  <c r="G663" i="1" s="1"/>
  <c r="I646" i="1" a="1"/>
  <c r="I646" i="1" s="1"/>
  <c r="F650" i="1" a="1"/>
  <c r="F650" i="1" s="1"/>
  <c r="G647" i="1" a="1"/>
  <c r="G647" i="1" s="1"/>
  <c r="H647" i="1" a="1"/>
  <c r="H647" i="1" s="1"/>
  <c r="I651" i="1" a="1"/>
  <c r="I651" i="1" s="1"/>
  <c r="F651" i="1" a="1"/>
  <c r="F651" i="1" s="1"/>
  <c r="J650" i="1" a="1"/>
  <c r="J650" i="1" s="1"/>
  <c r="I647" i="1" a="1"/>
  <c r="I647" i="1" s="1"/>
  <c r="I645" i="1" a="1"/>
  <c r="I645" i="1" s="1"/>
  <c r="H663" i="1" a="1"/>
  <c r="H663" i="1" s="1"/>
  <c r="J651" i="1" a="1"/>
  <c r="J651" i="1" s="1"/>
  <c r="H651" i="1" a="1"/>
  <c r="H651" i="1" s="1"/>
  <c r="J648" i="1" a="1"/>
  <c r="J648" i="1" s="1"/>
  <c r="G648" i="1" a="1"/>
  <c r="G648" i="1" s="1"/>
  <c r="J646" i="1" a="1"/>
  <c r="J646" i="1" s="1"/>
  <c r="J645" i="1" a="1"/>
  <c r="J645" i="1" s="1"/>
  <c r="G646" i="1" a="1"/>
  <c r="G646" i="1" s="1"/>
  <c r="I663" i="1" a="1"/>
  <c r="I663" i="1" s="1"/>
  <c r="J647" i="1" a="1"/>
  <c r="J647" i="1" s="1"/>
  <c r="K663" i="1" a="1"/>
  <c r="K663" i="1" s="1"/>
  <c r="G662" i="1" a="1"/>
  <c r="G662" i="1" s="1"/>
  <c r="K646" i="1" a="1"/>
  <c r="K646" i="1" s="1"/>
  <c r="F662" i="1" a="1"/>
  <c r="F662" i="1" s="1"/>
  <c r="I662" i="1" a="1"/>
  <c r="I662" i="1" s="1"/>
  <c r="K647" i="1" a="1"/>
  <c r="K647" i="1" s="1"/>
  <c r="J663" i="1" a="1"/>
  <c r="J663" i="1" s="1"/>
  <c r="G641" i="1" a="1"/>
  <c r="G641" i="1" s="1"/>
  <c r="J640" i="1" a="1"/>
  <c r="J640" i="1" s="1"/>
  <c r="J636" i="1" a="1"/>
  <c r="J636" i="1" s="1"/>
  <c r="H640" i="1" a="1"/>
  <c r="H640" i="1" s="1"/>
  <c r="K638" i="1" a="1"/>
  <c r="K638" i="1" s="1"/>
  <c r="K640" i="1" a="1"/>
  <c r="K640" i="1" s="1"/>
  <c r="I640" i="1" a="1"/>
  <c r="I640" i="1" s="1"/>
  <c r="F641" i="1" a="1"/>
  <c r="F641" i="1" s="1"/>
  <c r="K637" i="1" a="1"/>
  <c r="K637" i="1" s="1"/>
  <c r="H635" i="1" a="1"/>
  <c r="H635" i="1" s="1"/>
  <c r="K641" i="1" a="1"/>
  <c r="K641" i="1" s="1"/>
  <c r="G640" i="1" a="1"/>
  <c r="G640" i="1" s="1"/>
  <c r="I637" i="1" a="1"/>
  <c r="I637" i="1" s="1"/>
  <c r="I635" i="1" a="1"/>
  <c r="I635" i="1" s="1"/>
  <c r="H641" i="1" a="1"/>
  <c r="H641" i="1" s="1"/>
  <c r="H636" i="1" a="1"/>
  <c r="H636" i="1" s="1"/>
  <c r="H638" i="1" a="1"/>
  <c r="H638" i="1" s="1"/>
  <c r="J638" i="1" a="1"/>
  <c r="J638" i="1" s="1"/>
  <c r="F636" i="1" a="1"/>
  <c r="F636" i="1" s="1"/>
  <c r="F635" i="1" a="1"/>
  <c r="F635" i="1" s="1"/>
  <c r="G636" i="1" a="1"/>
  <c r="G636" i="1" s="1"/>
  <c r="K636" i="1" a="1"/>
  <c r="K636" i="1" s="1"/>
  <c r="I641" i="1" a="1"/>
  <c r="I641" i="1" s="1"/>
  <c r="I643" i="1" a="1"/>
  <c r="I643" i="1" s="1"/>
  <c r="F638" i="1" a="1"/>
  <c r="F638" i="1" s="1"/>
  <c r="F645" i="1" a="1"/>
  <c r="F645" i="1" s="1"/>
  <c r="J635" i="1" a="1"/>
  <c r="J635" i="1" s="1"/>
  <c r="I638" i="1" a="1"/>
  <c r="I638" i="1" s="1"/>
  <c r="H645" i="1" a="1"/>
  <c r="H645" i="1" s="1"/>
  <c r="G645" i="1" a="1"/>
  <c r="G645" i="1" s="1"/>
  <c r="G637" i="1" a="1"/>
  <c r="G637" i="1" s="1"/>
  <c r="F637" i="1" a="1"/>
  <c r="F637" i="1" s="1"/>
  <c r="I636" i="1" a="1"/>
  <c r="I636" i="1" s="1"/>
  <c r="K643" i="1" a="1"/>
  <c r="K643" i="1" s="1"/>
  <c r="J643" i="1" a="1"/>
  <c r="J643" i="1" s="1"/>
  <c r="J641" i="1" a="1"/>
  <c r="J641" i="1" s="1"/>
  <c r="H643" i="1" a="1"/>
  <c r="H643" i="1" s="1"/>
  <c r="G643" i="1" a="1"/>
  <c r="G643" i="1" s="1"/>
  <c r="F640" i="1" a="1"/>
  <c r="F640" i="1" s="1"/>
  <c r="K635" i="1" a="1"/>
  <c r="K635" i="1" s="1"/>
  <c r="H637" i="1" a="1"/>
  <c r="H637" i="1" s="1"/>
  <c r="G635" i="1" a="1"/>
  <c r="G635" i="1" s="1"/>
  <c r="F643" i="1" a="1"/>
  <c r="F643" i="1" s="1"/>
  <c r="J637" i="1" a="1"/>
  <c r="J637" i="1" s="1"/>
  <c r="G638" i="1" a="1"/>
  <c r="G638" i="1" s="1"/>
  <c r="G625" i="1" a="1"/>
  <c r="G625" i="1" s="1"/>
  <c r="H628" i="1" a="1"/>
  <c r="H628" i="1" s="1"/>
  <c r="I626" i="1" a="1"/>
  <c r="I626" i="1" s="1"/>
  <c r="J627" i="1" a="1"/>
  <c r="J627" i="1" s="1"/>
  <c r="H625" i="1" a="1"/>
  <c r="H625" i="1" s="1"/>
  <c r="K633" i="1" a="1"/>
  <c r="K633" i="1" s="1"/>
  <c r="J633" i="1" a="1"/>
  <c r="J633" i="1" s="1"/>
  <c r="J630" i="1" a="1"/>
  <c r="J630" i="1" s="1"/>
  <c r="K625" i="1" a="1"/>
  <c r="K625" i="1" s="1"/>
  <c r="G623" i="1" a="1"/>
  <c r="G623" i="1" s="1"/>
  <c r="G633" i="1" a="1"/>
  <c r="G633" i="1" s="1"/>
  <c r="J631" i="1" a="1"/>
  <c r="J631" i="1" s="1"/>
  <c r="K630" i="1" a="1"/>
  <c r="K630" i="1" s="1"/>
  <c r="J626" i="1" a="1"/>
  <c r="J626" i="1" s="1"/>
  <c r="K628" i="1" a="1"/>
  <c r="K628" i="1" s="1"/>
  <c r="G627" i="1" a="1"/>
  <c r="G627" i="1" s="1"/>
  <c r="F623" i="1" a="1"/>
  <c r="F623" i="1" s="1"/>
  <c r="I621" i="1" a="1"/>
  <c r="I621" i="1" s="1"/>
  <c r="I628" i="1" a="1"/>
  <c r="I628" i="1" s="1"/>
  <c r="I633" i="1" a="1"/>
  <c r="I633" i="1" s="1"/>
  <c r="H633" i="1" a="1"/>
  <c r="H633" i="1" s="1"/>
  <c r="F633" i="1" a="1"/>
  <c r="F633" i="1" s="1"/>
  <c r="F625" i="1" a="1"/>
  <c r="F625" i="1" s="1"/>
  <c r="I625" i="1" a="1"/>
  <c r="I625" i="1" s="1"/>
  <c r="K631" i="1" a="1"/>
  <c r="K631" i="1" s="1"/>
  <c r="F626" i="1" a="1"/>
  <c r="F626" i="1" s="1"/>
  <c r="I631" i="1" a="1"/>
  <c r="I631" i="1" s="1"/>
  <c r="H631" i="1" a="1"/>
  <c r="H631" i="1" s="1"/>
  <c r="G631" i="1" a="1"/>
  <c r="G631" i="1" s="1"/>
  <c r="F631" i="1" a="1"/>
  <c r="F631" i="1" s="1"/>
  <c r="I627" i="1" a="1"/>
  <c r="I627" i="1" s="1"/>
  <c r="H623" i="1" a="1"/>
  <c r="H623" i="1" s="1"/>
  <c r="F630" i="1" a="1"/>
  <c r="F630" i="1" s="1"/>
  <c r="F627" i="1" a="1"/>
  <c r="F627" i="1" s="1"/>
  <c r="K626" i="1" a="1"/>
  <c r="K626" i="1" s="1"/>
  <c r="H626" i="1" a="1"/>
  <c r="H626" i="1" s="1"/>
  <c r="G626" i="1" a="1"/>
  <c r="G626" i="1" s="1"/>
  <c r="K621" i="1" a="1"/>
  <c r="K621" i="1" s="1"/>
  <c r="J625" i="1" a="1"/>
  <c r="J625" i="1" s="1"/>
  <c r="K627" i="1" a="1"/>
  <c r="K627" i="1" s="1"/>
  <c r="I630" i="1" a="1"/>
  <c r="I630" i="1" s="1"/>
  <c r="G630" i="1" a="1"/>
  <c r="G630" i="1" s="1"/>
  <c r="J628" i="1" a="1"/>
  <c r="J628" i="1" s="1"/>
  <c r="H627" i="1" a="1"/>
  <c r="H627" i="1" s="1"/>
  <c r="H630" i="1" a="1"/>
  <c r="H630" i="1" s="1"/>
  <c r="K623" i="1" a="1"/>
  <c r="K623" i="1" s="1"/>
  <c r="G628" i="1" a="1"/>
  <c r="G628" i="1" s="1"/>
  <c r="I623" i="1" a="1"/>
  <c r="I623" i="1" s="1"/>
  <c r="J621" i="1" a="1"/>
  <c r="J621" i="1" s="1"/>
  <c r="F628" i="1" a="1"/>
  <c r="F628" i="1" s="1"/>
  <c r="J623" i="1" a="1"/>
  <c r="J623" i="1"/>
  <c r="K605" i="1" a="1"/>
  <c r="K605" i="1" s="1"/>
  <c r="H616" i="1" a="1"/>
  <c r="H616" i="1"/>
  <c r="G616" i="1" a="1"/>
  <c r="G616" i="1"/>
  <c r="I615" i="1" a="1"/>
  <c r="I615" i="1"/>
  <c r="G608" i="1" a="1"/>
  <c r="G608" i="1"/>
  <c r="F618" i="1" a="1"/>
  <c r="F618" i="1"/>
  <c r="I620" i="1" a="1"/>
  <c r="I620" i="1" s="1"/>
  <c r="J618" i="1" a="1"/>
  <c r="J618" i="1" s="1"/>
  <c r="F620" i="1" a="1"/>
  <c r="F620" i="1"/>
  <c r="G615" i="1" a="1"/>
  <c r="G615" i="1"/>
  <c r="G617" i="1" a="1"/>
  <c r="G617" i="1" s="1"/>
  <c r="J604" i="1" a="1"/>
  <c r="J604" i="1" s="1"/>
  <c r="I618" i="1" a="1"/>
  <c r="I618" i="1" s="1"/>
  <c r="G618" i="1" a="1"/>
  <c r="G618" i="1" s="1"/>
  <c r="K617" i="1" a="1"/>
  <c r="K617" i="1"/>
  <c r="H617" i="1" a="1"/>
  <c r="H617" i="1"/>
  <c r="J616" i="1" a="1"/>
  <c r="J616" i="1"/>
  <c r="F616" i="1" a="1"/>
  <c r="F616" i="1" s="1"/>
  <c r="K607" i="1" a="1"/>
  <c r="K607" i="1" s="1"/>
  <c r="H607" i="1" a="1"/>
  <c r="H607" i="1" s="1"/>
  <c r="F608" i="1" a="1"/>
  <c r="F608" i="1"/>
  <c r="F615" i="1" a="1"/>
  <c r="F615" i="1" s="1"/>
  <c r="H608" i="1" a="1"/>
  <c r="H608" i="1"/>
  <c r="H620" i="1" a="1"/>
  <c r="H620" i="1"/>
  <c r="J607" i="1" a="1"/>
  <c r="J607" i="1"/>
  <c r="G620" i="1" a="1"/>
  <c r="G620" i="1"/>
  <c r="K604" i="1" a="1"/>
  <c r="K604" i="1"/>
  <c r="K618" i="1" a="1"/>
  <c r="K618" i="1" s="1"/>
  <c r="G605" i="1" a="1"/>
  <c r="G605" i="1" s="1"/>
  <c r="H618" i="1" a="1"/>
  <c r="H618" i="1"/>
  <c r="I604" i="1" a="1"/>
  <c r="I604" i="1"/>
  <c r="H621" i="1" a="1"/>
  <c r="H621" i="1" s="1"/>
  <c r="J617" i="1" a="1"/>
  <c r="J617" i="1" s="1"/>
  <c r="J605" i="1" a="1"/>
  <c r="J605" i="1" s="1"/>
  <c r="I616" i="1" a="1"/>
  <c r="I616" i="1"/>
  <c r="K615" i="1" a="1"/>
  <c r="K615" i="1"/>
  <c r="J615" i="1" a="1"/>
  <c r="J615" i="1"/>
  <c r="I608" i="1" a="1"/>
  <c r="I608" i="1" s="1"/>
  <c r="F607" i="1" a="1"/>
  <c r="F607" i="1" s="1"/>
  <c r="G621" i="1" a="1"/>
  <c r="G621" i="1" s="1"/>
  <c r="I617" i="1" a="1"/>
  <c r="I617" i="1" s="1"/>
  <c r="K616" i="1" a="1"/>
  <c r="K616" i="1"/>
  <c r="H615" i="1" a="1"/>
  <c r="H615" i="1" s="1"/>
  <c r="H605" i="1" a="1"/>
  <c r="H605" i="1"/>
  <c r="J608" i="1" a="1"/>
  <c r="J608" i="1"/>
  <c r="F617" i="1" a="1"/>
  <c r="F617" i="1"/>
  <c r="G607" i="1" a="1"/>
  <c r="G607" i="1" s="1"/>
  <c r="F621" i="1" a="1"/>
  <c r="F621" i="1" s="1"/>
  <c r="K620" i="1" a="1"/>
  <c r="K620" i="1"/>
  <c r="J620" i="1" a="1"/>
  <c r="J620" i="1" s="1"/>
  <c r="I605" i="1" a="1"/>
  <c r="I605" i="1"/>
  <c r="K608" i="1" a="1"/>
  <c r="K608" i="1"/>
  <c r="F605" i="1" a="1"/>
  <c r="F605" i="1" s="1"/>
  <c r="I607" i="1" a="1"/>
  <c r="I607" i="1" s="1"/>
  <c r="J583" i="1" a="1"/>
  <c r="J583" i="1"/>
  <c r="H583" i="1" a="1"/>
  <c r="H583" i="1"/>
  <c r="H593" i="1" a="1"/>
  <c r="H593" i="1"/>
  <c r="K591" i="1" a="1"/>
  <c r="K591" i="1" s="1"/>
  <c r="H591" i="1" a="1"/>
  <c r="H591" i="1"/>
  <c r="K590" i="1" a="1"/>
  <c r="K590" i="1" s="1"/>
  <c r="J590" i="1" a="1"/>
  <c r="J590" i="1" s="1"/>
  <c r="I590" i="1" a="1"/>
  <c r="I590" i="1" s="1"/>
  <c r="H590" i="1" a="1"/>
  <c r="H590" i="1"/>
  <c r="I586" i="1" a="1"/>
  <c r="I586" i="1" s="1"/>
  <c r="H587" i="1" a="1"/>
  <c r="H587" i="1"/>
  <c r="K586" i="1" a="1"/>
  <c r="K586" i="1"/>
  <c r="I583" i="1" a="1"/>
  <c r="I583" i="1"/>
  <c r="F583" i="1" a="1"/>
  <c r="F583" i="1" s="1"/>
  <c r="I582" i="1" a="1"/>
  <c r="I582" i="1"/>
  <c r="G583" i="1" a="1"/>
  <c r="G583" i="1"/>
  <c r="G582" i="1" a="1"/>
  <c r="G582" i="1" s="1"/>
  <c r="I587" i="1" a="1"/>
  <c r="I587" i="1"/>
  <c r="I591" i="1" a="1"/>
  <c r="I591" i="1"/>
  <c r="F590" i="1" a="1"/>
  <c r="F590" i="1" s="1"/>
  <c r="K587" i="1" a="1"/>
  <c r="K587" i="1" s="1"/>
  <c r="K593" i="1" a="1"/>
  <c r="K593" i="1"/>
  <c r="J593" i="1" a="1"/>
  <c r="J593" i="1" s="1"/>
  <c r="K594" i="1" a="1"/>
  <c r="K594" i="1" s="1"/>
  <c r="J591" i="1" a="1"/>
  <c r="J591" i="1" s="1"/>
  <c r="F587" i="1" a="1"/>
  <c r="F587" i="1"/>
  <c r="J594" i="1" a="1"/>
  <c r="J594" i="1" s="1"/>
  <c r="I594" i="1" a="1"/>
  <c r="I594" i="1" s="1"/>
  <c r="F591" i="1" a="1"/>
  <c r="F591" i="1" s="1"/>
  <c r="J587" i="1" a="1"/>
  <c r="J587" i="1"/>
  <c r="G586" i="1" a="1"/>
  <c r="G586" i="1" s="1"/>
  <c r="H582" i="1" a="1"/>
  <c r="H582" i="1"/>
  <c r="K582" i="1" a="1"/>
  <c r="K582" i="1"/>
  <c r="G591" i="1" a="1"/>
  <c r="G591" i="1" s="1"/>
  <c r="H594" i="1" a="1"/>
  <c r="H594" i="1"/>
  <c r="G594" i="1" a="1"/>
  <c r="G594" i="1"/>
  <c r="F594" i="1" a="1"/>
  <c r="F594" i="1"/>
  <c r="J582" i="1" a="1"/>
  <c r="J582" i="1" s="1"/>
  <c r="I593" i="1" a="1"/>
  <c r="I593" i="1"/>
  <c r="G593" i="1" a="1"/>
  <c r="G593" i="1"/>
  <c r="F582" i="1" a="1"/>
  <c r="F582" i="1" s="1"/>
  <c r="F593" i="1" a="1"/>
  <c r="F593" i="1"/>
  <c r="G590" i="1" a="1"/>
  <c r="G590" i="1" s="1"/>
  <c r="J586" i="1" a="1"/>
  <c r="J586" i="1" s="1"/>
  <c r="K583" i="1" a="1"/>
  <c r="K583" i="1"/>
  <c r="G587" i="1" a="1"/>
  <c r="G587" i="1" s="1"/>
  <c r="H586" i="1" a="1"/>
  <c r="H586" i="1"/>
  <c r="F586" i="1" a="1"/>
  <c r="F586" i="1" s="1"/>
  <c r="K31" i="1" a="1"/>
  <c r="K31" i="1" s="1"/>
  <c r="G31" i="1" a="1"/>
  <c r="G31" i="1" s="1"/>
  <c r="F31" i="1" a="1"/>
  <c r="F31" i="1"/>
  <c r="J31" i="1" a="1"/>
  <c r="J31" i="1"/>
  <c r="H31" i="1" a="1"/>
  <c r="H31" i="1"/>
  <c r="I31" i="1" a="1"/>
  <c r="I31" i="1" s="1"/>
  <c r="K30" i="1" a="1"/>
  <c r="K30" i="1" s="1"/>
  <c r="F30" i="1" a="1"/>
  <c r="F30" i="1"/>
  <c r="J30" i="1" a="1"/>
  <c r="J30" i="1" s="1"/>
  <c r="I30" i="1" a="1"/>
  <c r="I30" i="1" s="1"/>
  <c r="G30" i="1" a="1"/>
  <c r="G30" i="1" s="1"/>
  <c r="H30" i="1" a="1"/>
  <c r="H30" i="1" s="1"/>
  <c r="K601" i="1" a="1"/>
  <c r="K601" i="1" s="1"/>
  <c r="J601" i="1" a="1"/>
  <c r="J601" i="1" s="1"/>
  <c r="K600" i="1" a="1"/>
  <c r="K600" i="1" s="1"/>
  <c r="F601" i="1" a="1"/>
  <c r="F601" i="1" s="1"/>
  <c r="H600" i="1" a="1"/>
  <c r="H600" i="1" s="1"/>
  <c r="I601" i="1" a="1"/>
  <c r="I601" i="1" s="1"/>
  <c r="H601" i="1" a="1"/>
  <c r="H601" i="1" s="1"/>
  <c r="G601" i="1" a="1"/>
  <c r="G601" i="1" s="1"/>
  <c r="J600" i="1" a="1"/>
  <c r="J600" i="1" s="1"/>
  <c r="I600" i="1" a="1"/>
  <c r="I600" i="1" s="1"/>
  <c r="G600" i="1" a="1"/>
  <c r="G600" i="1" s="1"/>
  <c r="F600" i="1" a="1"/>
  <c r="F600" i="1" s="1"/>
  <c r="G604" i="1" a="1"/>
  <c r="G604" i="1" s="1"/>
  <c r="F604" i="1" a="1"/>
  <c r="F604" i="1" s="1"/>
  <c r="H604" i="1" a="1"/>
  <c r="H604" i="1" s="1"/>
  <c r="K19" i="1"/>
  <c r="K18" i="1" s="1"/>
  <c r="J19" i="1"/>
  <c r="I19" i="1"/>
  <c r="H19" i="1"/>
  <c r="G19" i="1"/>
  <c r="F19" i="1"/>
  <c r="J18" i="1"/>
  <c r="I18" i="1"/>
  <c r="H18" i="1"/>
  <c r="G18" i="1"/>
  <c r="F18" i="1"/>
  <c r="G282" i="1" a="1"/>
  <c r="G282" i="1" s="1"/>
  <c r="G240" i="1" a="1"/>
  <c r="G240" i="1" s="1"/>
  <c r="J273" i="1" a="1"/>
  <c r="J273" i="1" s="1"/>
  <c r="J272" i="1" s="1"/>
  <c r="K282" i="1" a="1"/>
  <c r="K282" i="1" s="1"/>
  <c r="K281" i="1" s="1"/>
  <c r="J282" i="1" a="1"/>
  <c r="J282" i="1" s="1"/>
  <c r="J281" i="1" s="1"/>
  <c r="G273" i="1" a="1"/>
  <c r="G273" i="1" s="1"/>
  <c r="I273" i="1" a="1"/>
  <c r="I273" i="1" s="1"/>
  <c r="F240" i="1" a="1"/>
  <c r="F240" i="1" s="1"/>
  <c r="F282" i="1" a="1"/>
  <c r="F282" i="1" s="1"/>
  <c r="H273" i="1" a="1"/>
  <c r="H273" i="1" s="1"/>
  <c r="K240" i="1" a="1"/>
  <c r="K240" i="1" s="1"/>
  <c r="J240" i="1" a="1"/>
  <c r="J240" i="1" s="1"/>
  <c r="J239" i="1" s="1"/>
  <c r="H282" i="1" a="1"/>
  <c r="H282" i="1" s="1"/>
  <c r="H281" i="1" s="1"/>
  <c r="F273" i="1" a="1"/>
  <c r="F273" i="1" s="1"/>
  <c r="F272" i="1" s="1"/>
  <c r="I282" i="1" a="1"/>
  <c r="I282" i="1" s="1"/>
  <c r="K273" i="1" a="1"/>
  <c r="K273" i="1" s="1"/>
  <c r="I240" i="1" a="1"/>
  <c r="I240" i="1" s="1"/>
  <c r="H240" i="1" a="1"/>
  <c r="H240" i="1" s="1"/>
  <c r="I197" i="1" a="1"/>
  <c r="I197" i="1" s="1"/>
  <c r="H197" i="1" a="1"/>
  <c r="H197" i="1" s="1"/>
  <c r="G197" i="1" a="1"/>
  <c r="G197" i="1" s="1"/>
  <c r="F197" i="1" a="1"/>
  <c r="F197" i="1" s="1"/>
  <c r="F196" i="1" s="1"/>
  <c r="J197" i="1" a="1"/>
  <c r="J197" i="1" s="1"/>
  <c r="K197" i="1" a="1"/>
  <c r="K197" i="1" s="1"/>
  <c r="K196" i="1" s="1"/>
  <c r="K51" i="1" a="1"/>
  <c r="K51" i="1" s="1"/>
  <c r="J60" i="1" a="1"/>
  <c r="J60" i="1" s="1"/>
  <c r="I60" i="1" a="1"/>
  <c r="I60" i="1" s="1"/>
  <c r="K59" i="1" a="1"/>
  <c r="K59" i="1" s="1"/>
  <c r="J57" i="1" a="1"/>
  <c r="J57" i="1" s="1"/>
  <c r="F57" i="1" a="1"/>
  <c r="F57" i="1" s="1"/>
  <c r="F59" i="1" a="1"/>
  <c r="F59" i="1" s="1"/>
  <c r="H51" i="1" a="1"/>
  <c r="H51" i="1" s="1"/>
  <c r="J53" i="1" a="1"/>
  <c r="J53" i="1" s="1"/>
  <c r="J51" i="1" a="1"/>
  <c r="J51" i="1" s="1"/>
  <c r="K52" i="1" a="1"/>
  <c r="K52" i="1" s="1"/>
  <c r="J59" i="1" a="1"/>
  <c r="J59" i="1" s="1"/>
  <c r="J58" i="1" a="1"/>
  <c r="J58" i="1" s="1"/>
  <c r="I58" i="1" a="1"/>
  <c r="I58" i="1" s="1"/>
  <c r="G51" i="1" a="1"/>
  <c r="G51" i="1" s="1"/>
  <c r="K53" i="1" a="1"/>
  <c r="K53" i="1" s="1"/>
  <c r="K60" i="1" a="1"/>
  <c r="K60" i="1" s="1"/>
  <c r="H60" i="1" a="1"/>
  <c r="H60" i="1" s="1"/>
  <c r="K57" i="1" a="1"/>
  <c r="K57" i="1" s="1"/>
  <c r="F60" i="1" a="1"/>
  <c r="F60" i="1" s="1"/>
  <c r="G58" i="1" a="1"/>
  <c r="G58" i="1" s="1"/>
  <c r="H52" i="1" a="1"/>
  <c r="H52" i="1" s="1"/>
  <c r="J50" i="1" a="1"/>
  <c r="J50" i="1" s="1"/>
  <c r="G59" i="1" a="1"/>
  <c r="G59" i="1" s="1"/>
  <c r="G53" i="1" a="1"/>
  <c r="G53" i="1" s="1"/>
  <c r="F53" i="1" a="1"/>
  <c r="F53" i="1" s="1"/>
  <c r="G60" i="1" a="1"/>
  <c r="G60" i="1" s="1"/>
  <c r="H59" i="1" a="1"/>
  <c r="H59" i="1" s="1"/>
  <c r="I59" i="1" a="1"/>
  <c r="I59" i="1" s="1"/>
  <c r="K58" i="1" a="1"/>
  <c r="K58" i="1" s="1"/>
  <c r="F58" i="1" a="1"/>
  <c r="F58" i="1" s="1"/>
  <c r="I51" i="1" a="1"/>
  <c r="I51" i="1" s="1"/>
  <c r="I53" i="1" a="1"/>
  <c r="I53" i="1" s="1"/>
  <c r="H58" i="1" a="1"/>
  <c r="H58" i="1" s="1"/>
  <c r="I57" i="1" a="1"/>
  <c r="I57" i="1" s="1"/>
  <c r="H57" i="1" a="1"/>
  <c r="H57" i="1" s="1"/>
  <c r="J52" i="1" a="1"/>
  <c r="J52" i="1" s="1"/>
  <c r="G52" i="1" a="1"/>
  <c r="G52" i="1" s="1"/>
  <c r="K50" i="1" a="1"/>
  <c r="K50" i="1" s="1"/>
  <c r="F51" i="1" a="1"/>
  <c r="F51" i="1" s="1"/>
  <c r="I50" i="1" a="1"/>
  <c r="I50" i="1" s="1"/>
  <c r="F52" i="1" a="1"/>
  <c r="F52" i="1" s="1"/>
  <c r="G57" i="1" a="1"/>
  <c r="G57" i="1" s="1"/>
  <c r="H53" i="1" a="1"/>
  <c r="H53" i="1" s="1"/>
  <c r="I52" i="1" a="1"/>
  <c r="I52" i="1" s="1"/>
  <c r="H50" i="1" a="1"/>
  <c r="H50" i="1" s="1"/>
  <c r="G50" i="1" a="1"/>
  <c r="G50" i="1" s="1"/>
  <c r="F50" i="1" a="1"/>
  <c r="F50" i="1" s="1"/>
  <c r="J13" i="1" a="1"/>
  <c r="J13" i="1" s="1"/>
  <c r="H15" i="1" a="1"/>
  <c r="H15" i="1" s="1"/>
  <c r="K13" i="1" a="1"/>
  <c r="K13" i="1" s="1"/>
  <c r="G14" i="1" a="1"/>
  <c r="G14" i="1" s="1"/>
  <c r="F14" i="1" a="1"/>
  <c r="F14" i="1" s="1"/>
  <c r="H13" i="1" a="1"/>
  <c r="H13" i="1" s="1"/>
  <c r="I14" i="1" a="1"/>
  <c r="I14" i="1" s="1"/>
  <c r="G13" i="1" a="1"/>
  <c r="G13" i="1" s="1"/>
  <c r="I15" i="1" a="1"/>
  <c r="I15" i="1" s="1"/>
  <c r="J14" i="1" a="1"/>
  <c r="J14" i="1" s="1"/>
  <c r="K14" i="1" a="1"/>
  <c r="K14" i="1" s="1"/>
  <c r="G15" i="1" a="1"/>
  <c r="G15" i="1" s="1"/>
  <c r="F15" i="1" a="1"/>
  <c r="F15" i="1" s="1"/>
  <c r="H14" i="1" a="1"/>
  <c r="H14" i="1" s="1"/>
  <c r="I13" i="1" a="1"/>
  <c r="I13" i="1" s="1"/>
  <c r="F13" i="1" a="1"/>
  <c r="F13" i="1" s="1"/>
  <c r="K15" i="1" a="1"/>
  <c r="K15" i="1" s="1"/>
  <c r="J15" i="1" a="1"/>
  <c r="J15" i="1" s="1"/>
  <c r="J54" i="1" a="1"/>
  <c r="J54" i="1" s="1"/>
  <c r="F54" i="1" a="1"/>
  <c r="F54" i="1" s="1"/>
  <c r="G54" i="1" a="1"/>
  <c r="G54" i="1" s="1"/>
  <c r="H54" i="1" a="1"/>
  <c r="H54" i="1" s="1"/>
  <c r="K54" i="1" a="1"/>
  <c r="K54" i="1" s="1"/>
  <c r="I54" i="1" a="1"/>
  <c r="I54" i="1" s="1"/>
  <c r="K42" i="1" a="1"/>
  <c r="K42" i="1" s="1"/>
  <c r="G41" i="1" a="1"/>
  <c r="G41" i="1" s="1"/>
  <c r="F43" i="1" a="1"/>
  <c r="F43" i="1" s="1"/>
  <c r="J43" i="1" a="1"/>
  <c r="J43" i="1" s="1"/>
  <c r="F42" i="1" a="1"/>
  <c r="F42" i="1" s="1"/>
  <c r="K41" i="1" a="1"/>
  <c r="K41" i="1" s="1"/>
  <c r="I41" i="1" a="1"/>
  <c r="I41" i="1" s="1"/>
  <c r="J42" i="1" a="1"/>
  <c r="J42" i="1" s="1"/>
  <c r="I48" i="1" a="1"/>
  <c r="I48" i="1" s="1"/>
  <c r="H41" i="1" a="1"/>
  <c r="H41" i="1" s="1"/>
  <c r="K43" i="1" a="1"/>
  <c r="K43" i="1" s="1"/>
  <c r="H42" i="1" a="1"/>
  <c r="H42" i="1" s="1"/>
  <c r="K48" i="1" a="1"/>
  <c r="K48" i="1" s="1"/>
  <c r="J41" i="1" a="1"/>
  <c r="J41" i="1"/>
  <c r="J48" i="1" a="1"/>
  <c r="J48" i="1"/>
  <c r="I42" i="1" a="1"/>
  <c r="I42" i="1"/>
  <c r="H43" i="1" a="1"/>
  <c r="H43" i="1"/>
  <c r="H48" i="1" a="1"/>
  <c r="H48" i="1"/>
  <c r="G43" i="1" a="1"/>
  <c r="G43" i="1" s="1"/>
  <c r="F41" i="1" a="1"/>
  <c r="F41" i="1" s="1"/>
  <c r="F48" i="1" a="1"/>
  <c r="F48" i="1"/>
  <c r="G42" i="1" a="1"/>
  <c r="G42" i="1" s="1"/>
  <c r="G48" i="1" a="1"/>
  <c r="G48" i="1" s="1"/>
  <c r="I43" i="1" a="1"/>
  <c r="I43" i="1" s="1"/>
  <c r="H25" i="1" a="1"/>
  <c r="H25" i="1"/>
  <c r="H26" i="1" a="1"/>
  <c r="H26" i="1" s="1"/>
  <c r="J24" i="1" a="1"/>
  <c r="J24" i="1" s="1"/>
  <c r="G25" i="1" a="1"/>
  <c r="G25" i="1" s="1"/>
  <c r="I25" i="1" a="1"/>
  <c r="I25" i="1"/>
  <c r="K24" i="1" a="1"/>
  <c r="K24" i="1"/>
  <c r="K26" i="1" a="1"/>
  <c r="K26" i="1"/>
  <c r="I26" i="1" a="1"/>
  <c r="I26" i="1"/>
  <c r="K27" i="1" a="1"/>
  <c r="K27" i="1"/>
  <c r="I24" i="1" a="1"/>
  <c r="I24" i="1" s="1"/>
  <c r="K28" i="1" a="1"/>
  <c r="K28" i="1"/>
  <c r="H27" i="1" a="1"/>
  <c r="H27" i="1" s="1"/>
  <c r="J28" i="1" a="1"/>
  <c r="J28" i="1" s="1"/>
  <c r="I28" i="1" a="1"/>
  <c r="I28" i="1" s="1"/>
  <c r="J27" i="1" a="1"/>
  <c r="J27" i="1"/>
  <c r="F26" i="1" a="1"/>
  <c r="F26" i="1"/>
  <c r="I27" i="1" a="1"/>
  <c r="I27" i="1"/>
  <c r="G27" i="1" a="1"/>
  <c r="G27" i="1"/>
  <c r="J26" i="1" a="1"/>
  <c r="J26" i="1"/>
  <c r="G26" i="1" a="1"/>
  <c r="G26" i="1" s="1"/>
  <c r="K25" i="1" a="1"/>
  <c r="K25" i="1"/>
  <c r="J25" i="1" a="1"/>
  <c r="J25" i="1" s="1"/>
  <c r="F28" i="1" a="1"/>
  <c r="F28" i="1" s="1"/>
  <c r="F27" i="1" a="1"/>
  <c r="F27" i="1" s="1"/>
  <c r="H28" i="1" a="1"/>
  <c r="H28" i="1"/>
  <c r="F25" i="1" a="1"/>
  <c r="F25" i="1" s="1"/>
  <c r="G28" i="1" a="1"/>
  <c r="G28" i="1"/>
  <c r="H11" i="1" a="1"/>
  <c r="H11" i="1"/>
  <c r="I21" i="1" a="1"/>
  <c r="I21" i="1"/>
  <c r="H24" i="1" a="1"/>
  <c r="H24" i="1" s="1"/>
  <c r="F17" i="1" a="1"/>
  <c r="F17" i="1"/>
  <c r="G21" i="1" a="1"/>
  <c r="G21" i="1" s="1"/>
  <c r="G24" i="1" a="1"/>
  <c r="G24" i="1" s="1"/>
  <c r="I11" i="1" a="1"/>
  <c r="I11" i="1" s="1"/>
  <c r="G17" i="1" a="1"/>
  <c r="G17" i="1"/>
  <c r="F24" i="1" a="1"/>
  <c r="F24" i="1" s="1"/>
  <c r="K21" i="1" a="1"/>
  <c r="K21" i="1"/>
  <c r="J21" i="1" a="1"/>
  <c r="J21" i="1"/>
  <c r="F21" i="1" a="1"/>
  <c r="F21" i="1"/>
  <c r="J11" i="1" a="1"/>
  <c r="J11" i="1" s="1"/>
  <c r="H21" i="1" a="1"/>
  <c r="H21" i="1"/>
  <c r="G16" i="1" a="1"/>
  <c r="G16" i="1" s="1"/>
  <c r="J16" i="1" a="1"/>
  <c r="J16" i="1" s="1"/>
  <c r="H17" i="1" a="1"/>
  <c r="H17" i="1" s="1"/>
  <c r="H16" i="1" a="1"/>
  <c r="H16" i="1"/>
  <c r="K17" i="1" a="1"/>
  <c r="K17" i="1"/>
  <c r="J17" i="1" a="1"/>
  <c r="J17" i="1"/>
  <c r="F16" i="1" a="1"/>
  <c r="F16" i="1"/>
  <c r="I17" i="1" a="1"/>
  <c r="I17" i="1"/>
  <c r="I16" i="1" a="1"/>
  <c r="I16" i="1" s="1"/>
  <c r="K11" i="1" a="1"/>
  <c r="K11" i="1"/>
  <c r="K16" i="1" a="1"/>
  <c r="K16" i="1" s="1"/>
  <c r="K10" i="1" a="1"/>
  <c r="K10" i="1" s="1"/>
  <c r="H4" i="1" a="1"/>
  <c r="H4" i="1" s="1"/>
  <c r="J10" i="1" a="1"/>
  <c r="J10" i="1"/>
  <c r="I10" i="1" a="1"/>
  <c r="I10" i="1"/>
  <c r="H10" i="1" a="1"/>
  <c r="H10" i="1"/>
  <c r="F10" i="1" a="1"/>
  <c r="F10" i="1"/>
  <c r="K9" i="1" a="1"/>
  <c r="K9" i="1"/>
  <c r="J9" i="1" a="1"/>
  <c r="J9" i="1" s="1"/>
  <c r="I9" i="1" a="1"/>
  <c r="I9" i="1"/>
  <c r="H9" i="1" a="1"/>
  <c r="H9" i="1" s="1"/>
  <c r="I4" i="1" a="1"/>
  <c r="I4" i="1" s="1"/>
  <c r="G9" i="1" a="1"/>
  <c r="G9" i="1" s="1"/>
  <c r="F5" i="1" a="1"/>
  <c r="F5" i="1"/>
  <c r="I5" i="1" a="1"/>
  <c r="I5" i="1"/>
  <c r="K4" i="1" a="1"/>
  <c r="K4" i="1"/>
  <c r="G4" i="1" a="1"/>
  <c r="G4" i="1"/>
  <c r="F9" i="1" a="1"/>
  <c r="F9" i="1"/>
  <c r="K6" i="1" a="1"/>
  <c r="K6" i="1" s="1"/>
  <c r="G7" i="1" a="1"/>
  <c r="G7" i="1"/>
  <c r="J7" i="1" a="1"/>
  <c r="J7" i="1" s="1"/>
  <c r="J5" i="1" a="1"/>
  <c r="J5" i="1" s="1"/>
  <c r="I6" i="1" a="1"/>
  <c r="I6" i="1" s="1"/>
  <c r="J4" i="1" a="1"/>
  <c r="J4" i="1"/>
  <c r="K7" i="1" a="1"/>
  <c r="K7" i="1"/>
  <c r="H6" i="1" a="1"/>
  <c r="H6" i="1"/>
  <c r="H5" i="1" a="1"/>
  <c r="H5" i="1"/>
  <c r="I7" i="1" a="1"/>
  <c r="I7" i="1"/>
  <c r="K5" i="1" a="1"/>
  <c r="K5" i="1" s="1"/>
  <c r="H7" i="1" a="1"/>
  <c r="H7" i="1"/>
  <c r="G6" i="1" a="1"/>
  <c r="G6" i="1" s="1"/>
  <c r="F7" i="1" a="1"/>
  <c r="F7" i="1" s="1"/>
  <c r="F6" i="1" a="1"/>
  <c r="F6" i="1" s="1"/>
  <c r="G5" i="1" a="1"/>
  <c r="G5" i="1"/>
  <c r="F4" i="1" a="1"/>
  <c r="F4" i="1"/>
  <c r="G10" i="1" a="1"/>
  <c r="G10" i="1"/>
  <c r="G11" i="1" a="1"/>
  <c r="G11" i="1"/>
  <c r="F11" i="1" a="1"/>
  <c r="F11" i="1"/>
  <c r="J6" i="1" a="1"/>
  <c r="J6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3" i="1"/>
  <c r="J384" i="1" l="1"/>
  <c r="J515" i="1" s="1"/>
  <c r="I384" i="1"/>
  <c r="I515" i="1" s="1"/>
  <c r="K383" i="1"/>
  <c r="K514" i="1" s="1"/>
  <c r="G383" i="1"/>
  <c r="G514" i="1" s="1"/>
  <c r="H382" i="1"/>
  <c r="H513" i="1" s="1"/>
  <c r="F378" i="1"/>
  <c r="F435" i="1" s="1"/>
  <c r="K299" i="1"/>
  <c r="K463" i="1" s="1"/>
  <c r="J299" i="1"/>
  <c r="J463" i="1" s="1"/>
  <c r="H299" i="1"/>
  <c r="H463" i="1" s="1"/>
  <c r="G299" i="1"/>
  <c r="G463" i="1" s="1"/>
  <c r="J298" i="1"/>
  <c r="J411" i="1" s="1"/>
  <c r="I298" i="1"/>
  <c r="I411" i="1" s="1"/>
  <c r="H298" i="1"/>
  <c r="H411" i="1" s="1"/>
  <c r="G381" i="1"/>
  <c r="G512" i="1" s="1"/>
  <c r="G315" i="1"/>
  <c r="G470" i="1" s="1"/>
  <c r="J380" i="1"/>
  <c r="J511" i="1" s="1"/>
  <c r="J314" i="1"/>
  <c r="J469" i="1" s="1"/>
  <c r="H380" i="1"/>
  <c r="H511" i="1" s="1"/>
  <c r="H360" i="1"/>
  <c r="H427" i="1" s="1"/>
  <c r="G360" i="1"/>
  <c r="G427" i="1" s="1"/>
  <c r="F359" i="1"/>
  <c r="F426" i="1" s="1"/>
  <c r="K359" i="1"/>
  <c r="K426" i="1" s="1"/>
  <c r="K384" i="1"/>
  <c r="K515" i="1" s="1"/>
  <c r="H384" i="1"/>
  <c r="H515" i="1" s="1"/>
  <c r="J383" i="1"/>
  <c r="J514" i="1" s="1"/>
  <c r="J382" i="1"/>
  <c r="J513" i="1" s="1"/>
  <c r="H2291" i="1"/>
  <c r="H2290" i="1" s="1"/>
  <c r="I2291" i="1"/>
  <c r="I2290" i="1" s="1"/>
  <c r="K2184" i="1"/>
  <c r="J2184" i="1"/>
  <c r="I2184" i="1"/>
  <c r="H2184" i="1"/>
  <c r="G2184" i="1"/>
  <c r="F2184" i="1"/>
  <c r="K2045" i="1"/>
  <c r="J2045" i="1"/>
  <c r="I2045" i="1"/>
  <c r="H2045" i="1"/>
  <c r="G2045" i="1"/>
  <c r="F2045" i="1"/>
  <c r="K2310" i="1"/>
  <c r="K2308" i="1"/>
  <c r="J2308" i="1"/>
  <c r="J2310" i="1"/>
  <c r="I2308" i="1"/>
  <c r="I2310" i="1"/>
  <c r="H2308" i="1"/>
  <c r="H2310" i="1"/>
  <c r="G2308" i="1"/>
  <c r="G2310" i="1"/>
  <c r="F2310" i="1"/>
  <c r="F2308" i="1"/>
  <c r="K2218" i="1"/>
  <c r="J2218" i="1"/>
  <c r="I2218" i="1"/>
  <c r="H2218" i="1"/>
  <c r="G2218" i="1"/>
  <c r="F2218" i="1"/>
  <c r="K2208" i="1"/>
  <c r="J2208" i="1"/>
  <c r="I2208" i="1"/>
  <c r="H2208" i="1"/>
  <c r="G2208" i="1"/>
  <c r="F2208" i="1"/>
  <c r="K2109" i="1"/>
  <c r="J2109" i="1"/>
  <c r="I2109" i="1"/>
  <c r="H2109" i="1"/>
  <c r="G2109" i="1"/>
  <c r="F2109" i="1"/>
  <c r="J378" i="1"/>
  <c r="J435" i="1" s="1"/>
  <c r="G724" i="1" a="1"/>
  <c r="G724" i="1" s="1"/>
  <c r="G726" i="1" s="1" a="1"/>
  <c r="G726" i="1" s="1"/>
  <c r="G740" i="1" a="1"/>
  <c r="G740" i="1" s="1"/>
  <c r="G742" i="1" s="1" a="1"/>
  <c r="G742" i="1" s="1"/>
  <c r="K398" i="1"/>
  <c r="K518" i="1" s="1"/>
  <c r="J397" i="1"/>
  <c r="J517" i="1" s="1"/>
  <c r="F397" i="1"/>
  <c r="F517" i="1" s="1"/>
  <c r="K323" i="1"/>
  <c r="K478" i="1" s="1"/>
  <c r="J322" i="1"/>
  <c r="J477" i="1" s="1"/>
  <c r="H322" i="1"/>
  <c r="H477" i="1" s="1"/>
  <c r="K321" i="1"/>
  <c r="K476" i="1" s="1"/>
  <c r="H321" i="1"/>
  <c r="H476" i="1" s="1"/>
  <c r="I320" i="1"/>
  <c r="I475" i="1" s="1"/>
  <c r="F318" i="1"/>
  <c r="F473" i="1" s="1"/>
  <c r="G317" i="1"/>
  <c r="G472" i="1" s="1"/>
  <c r="F316" i="1"/>
  <c r="F471" i="1" s="1"/>
  <c r="I299" i="1"/>
  <c r="I463" i="1" s="1"/>
  <c r="H313" i="1"/>
  <c r="H418" i="1" s="1"/>
  <c r="G313" i="1"/>
  <c r="G418" i="1" s="1"/>
  <c r="I312" i="1"/>
  <c r="I417" i="1" s="1"/>
  <c r="H312" i="1"/>
  <c r="H417" i="1" s="1"/>
  <c r="K298" i="1"/>
  <c r="K411" i="1" s="1"/>
  <c r="G298" i="1"/>
  <c r="G411" i="1" s="1"/>
  <c r="H315" i="1"/>
  <c r="H470" i="1" s="1"/>
  <c r="G396" i="1"/>
  <c r="G437" i="1" s="1"/>
  <c r="F396" i="1"/>
  <c r="F437" i="1" s="1"/>
  <c r="F384" i="1"/>
  <c r="F515" i="1" s="1"/>
  <c r="I383" i="1"/>
  <c r="I514" i="1" s="1"/>
  <c r="H383" i="1"/>
  <c r="H514" i="1" s="1"/>
  <c r="K382" i="1"/>
  <c r="K513" i="1" s="1"/>
  <c r="I382" i="1"/>
  <c r="I513" i="1" s="1"/>
  <c r="G382" i="1"/>
  <c r="G513" i="1" s="1"/>
  <c r="F382" i="1"/>
  <c r="F513" i="1" s="1"/>
  <c r="K381" i="1"/>
  <c r="K512" i="1" s="1"/>
  <c r="K378" i="1"/>
  <c r="K435" i="1" s="1"/>
  <c r="I378" i="1"/>
  <c r="I435" i="1" s="1"/>
  <c r="H378" i="1"/>
  <c r="H435" i="1" s="1"/>
  <c r="G378" i="1"/>
  <c r="G435" i="1" s="1"/>
  <c r="J362" i="1"/>
  <c r="H781" i="1"/>
  <c r="H784" i="1"/>
  <c r="H785" i="1" s="1"/>
  <c r="G784" i="1"/>
  <c r="G785" i="1" s="1"/>
  <c r="G781" i="1"/>
  <c r="I323" i="1"/>
  <c r="I478" i="1" s="1"/>
  <c r="I127" i="1"/>
  <c r="H127" i="1"/>
  <c r="H323" i="1"/>
  <c r="H478" i="1" s="1"/>
  <c r="G127" i="1"/>
  <c r="G323" i="1"/>
  <c r="G478" i="1" s="1"/>
  <c r="F323" i="1"/>
  <c r="F478" i="1" s="1"/>
  <c r="F127" i="1"/>
  <c r="K126" i="1"/>
  <c r="K322" i="1"/>
  <c r="K477" i="1" s="1"/>
  <c r="I126" i="1"/>
  <c r="I322" i="1"/>
  <c r="I477" i="1" s="1"/>
  <c r="J320" i="1"/>
  <c r="J475" i="1" s="1"/>
  <c r="J124" i="1"/>
  <c r="F320" i="1"/>
  <c r="F475" i="1" s="1"/>
  <c r="F124" i="1"/>
  <c r="K123" i="1"/>
  <c r="K319" i="1"/>
  <c r="K474" i="1" s="1"/>
  <c r="J123" i="1"/>
  <c r="J319" i="1"/>
  <c r="J474" i="1" s="1"/>
  <c r="I123" i="1"/>
  <c r="I319" i="1"/>
  <c r="I474" i="1" s="1"/>
  <c r="G123" i="1"/>
  <c r="G319" i="1"/>
  <c r="G474" i="1" s="1"/>
  <c r="F123" i="1"/>
  <c r="F319" i="1"/>
  <c r="F474" i="1" s="1"/>
  <c r="I318" i="1"/>
  <c r="I473" i="1" s="1"/>
  <c r="I122" i="1"/>
  <c r="H318" i="1"/>
  <c r="H473" i="1" s="1"/>
  <c r="H122" i="1"/>
  <c r="J317" i="1"/>
  <c r="J472" i="1" s="1"/>
  <c r="J121" i="1"/>
  <c r="K120" i="1"/>
  <c r="K316" i="1"/>
  <c r="K471" i="1" s="1"/>
  <c r="J120" i="1"/>
  <c r="J316" i="1"/>
  <c r="J471" i="1" s="1"/>
  <c r="I316" i="1"/>
  <c r="I471" i="1" s="1"/>
  <c r="I120" i="1"/>
  <c r="H316" i="1"/>
  <c r="H471" i="1" s="1"/>
  <c r="H120" i="1"/>
  <c r="G120" i="1"/>
  <c r="G316" i="1"/>
  <c r="G471" i="1" s="1"/>
  <c r="I118" i="1"/>
  <c r="I239" i="1"/>
  <c r="I314" i="1" s="1"/>
  <c r="I469" i="1" s="1"/>
  <c r="H239" i="1"/>
  <c r="H314" i="1" s="1"/>
  <c r="H469" i="1" s="1"/>
  <c r="H118" i="1"/>
  <c r="F313" i="1"/>
  <c r="F418" i="1" s="1"/>
  <c r="F117" i="1"/>
  <c r="K116" i="1"/>
  <c r="K312" i="1"/>
  <c r="K417" i="1" s="1"/>
  <c r="J116" i="1"/>
  <c r="J312" i="1"/>
  <c r="J417" i="1" s="1"/>
  <c r="I784" i="1"/>
  <c r="I785" i="1" s="1"/>
  <c r="I781" i="1"/>
  <c r="F360" i="1"/>
  <c r="F427" i="1" s="1"/>
  <c r="K923" i="1"/>
  <c r="K922" i="1" s="1"/>
  <c r="K901" i="1"/>
  <c r="I923" i="1"/>
  <c r="I922" i="1" s="1"/>
  <c r="I901" i="1"/>
  <c r="K360" i="1"/>
  <c r="K427" i="1" s="1"/>
  <c r="F361" i="1"/>
  <c r="F502" i="1" s="1"/>
  <c r="K239" i="1"/>
  <c r="K314" i="1" s="1"/>
  <c r="K469" i="1" s="1"/>
  <c r="K315" i="1"/>
  <c r="K470" i="1" s="1"/>
  <c r="H272" i="1"/>
  <c r="H361" i="1" s="1"/>
  <c r="H502" i="1" s="1"/>
  <c r="H362" i="1"/>
  <c r="F381" i="1"/>
  <c r="F512" i="1" s="1"/>
  <c r="F281" i="1"/>
  <c r="F380" i="1" s="1"/>
  <c r="F511" i="1" s="1"/>
  <c r="K272" i="1"/>
  <c r="K361" i="1" s="1"/>
  <c r="K502" i="1" s="1"/>
  <c r="K362" i="1"/>
  <c r="I381" i="1"/>
  <c r="I512" i="1" s="1"/>
  <c r="I281" i="1"/>
  <c r="I380" i="1" s="1"/>
  <c r="I511" i="1" s="1"/>
  <c r="J784" i="1"/>
  <c r="J785" i="1" s="1"/>
  <c r="J781" i="1"/>
  <c r="F740" i="1" a="1"/>
  <c r="F740" i="1" s="1"/>
  <c r="F742" i="1" s="1" a="1"/>
  <c r="F742" i="1" s="1"/>
  <c r="F724" i="1" a="1"/>
  <c r="F724" i="1" s="1"/>
  <c r="F726" i="1" s="1" a="1"/>
  <c r="F726" i="1" s="1"/>
  <c r="G272" i="1"/>
  <c r="G361" i="1" s="1"/>
  <c r="G502" i="1" s="1"/>
  <c r="G362" i="1"/>
  <c r="K380" i="1"/>
  <c r="K511" i="1" s="1"/>
  <c r="I272" i="1"/>
  <c r="I361" i="1" s="1"/>
  <c r="I502" i="1" s="1"/>
  <c r="I362" i="1"/>
  <c r="H740" i="1" a="1"/>
  <c r="H740" i="1" s="1"/>
  <c r="H742" i="1" s="1" a="1"/>
  <c r="H742" i="1" s="1"/>
  <c r="H724" i="1" a="1"/>
  <c r="H724" i="1" s="1"/>
  <c r="H726" i="1" s="1" a="1"/>
  <c r="H726" i="1" s="1"/>
  <c r="I196" i="1"/>
  <c r="I359" i="1" s="1"/>
  <c r="I426" i="1" s="1"/>
  <c r="I360" i="1"/>
  <c r="I427" i="1" s="1"/>
  <c r="I315" i="1"/>
  <c r="I470" i="1" s="1"/>
  <c r="G281" i="1"/>
  <c r="G380" i="1" s="1"/>
  <c r="G511" i="1" s="1"/>
  <c r="K121" i="1"/>
  <c r="J724" i="1" a="1"/>
  <c r="J724" i="1" s="1"/>
  <c r="J726" i="1" s="1" a="1"/>
  <c r="J726" i="1" s="1"/>
  <c r="K117" i="1"/>
  <c r="G320" i="1"/>
  <c r="G475" i="1" s="1"/>
  <c r="I321" i="1"/>
  <c r="I476" i="1" s="1"/>
  <c r="H320" i="1"/>
  <c r="H475" i="1" s="1"/>
  <c r="F298" i="1"/>
  <c r="F411" i="1" s="1"/>
  <c r="F315" i="1"/>
  <c r="F470" i="1" s="1"/>
  <c r="F383" i="1"/>
  <c r="F514" i="1" s="1"/>
  <c r="J127" i="1"/>
  <c r="G312" i="1"/>
  <c r="G417" i="1" s="1"/>
  <c r="J122" i="1"/>
  <c r="K320" i="1"/>
  <c r="K475" i="1" s="1"/>
  <c r="H901" i="1"/>
  <c r="H900" i="1"/>
  <c r="H923" i="1"/>
  <c r="H922" i="1" s="1"/>
  <c r="H897" i="1"/>
  <c r="I724" i="1" a="1"/>
  <c r="I724" i="1" s="1"/>
  <c r="I726" i="1" s="1" a="1"/>
  <c r="I726" i="1" s="1"/>
  <c r="F312" i="1"/>
  <c r="F417" i="1" s="1"/>
  <c r="F116" i="1"/>
  <c r="F322" i="1"/>
  <c r="F477" i="1" s="1"/>
  <c r="F126" i="1"/>
  <c r="J361" i="1"/>
  <c r="J502" i="1" s="1"/>
  <c r="K122" i="1"/>
  <c r="F781" i="1"/>
  <c r="K740" i="1" a="1"/>
  <c r="K740" i="1" s="1"/>
  <c r="K742" i="1" s="1" a="1"/>
  <c r="K742" i="1" s="1"/>
  <c r="K724" i="1" a="1"/>
  <c r="K724" i="1" s="1"/>
  <c r="K726" i="1" s="1" a="1"/>
  <c r="K726" i="1" s="1"/>
  <c r="H381" i="1"/>
  <c r="H512" i="1" s="1"/>
  <c r="J196" i="1"/>
  <c r="J359" i="1" s="1"/>
  <c r="J426" i="1" s="1"/>
  <c r="J360" i="1"/>
  <c r="J427" i="1" s="1"/>
  <c r="J315" i="1"/>
  <c r="J470" i="1" s="1"/>
  <c r="G923" i="1"/>
  <c r="G922" i="1" s="1"/>
  <c r="G901" i="1"/>
  <c r="I740" i="1" a="1"/>
  <c r="I740" i="1" s="1"/>
  <c r="I742" i="1" s="1" a="1"/>
  <c r="I742" i="1" s="1"/>
  <c r="H317" i="1"/>
  <c r="H472" i="1" s="1"/>
  <c r="J900" i="1"/>
  <c r="J923" i="1"/>
  <c r="J922" i="1" s="1"/>
  <c r="J897" i="1"/>
  <c r="J901" i="1"/>
  <c r="F923" i="1"/>
  <c r="F922" i="1" s="1"/>
  <c r="F893" i="1"/>
  <c r="F901" i="1" s="1"/>
  <c r="G138" i="1" a="1"/>
  <c r="G138" i="1" s="1"/>
  <c r="F299" i="1"/>
  <c r="F463" i="1" s="1"/>
  <c r="H319" i="1"/>
  <c r="H474" i="1" s="1"/>
  <c r="H123" i="1"/>
  <c r="H119" i="1"/>
  <c r="I317" i="1"/>
  <c r="I472" i="1" s="1"/>
  <c r="K781" i="1"/>
  <c r="G384" i="1"/>
  <c r="G515" i="1" s="1"/>
  <c r="I313" i="1"/>
  <c r="I418" i="1" s="1"/>
  <c r="J313" i="1"/>
  <c r="J418" i="1" s="1"/>
  <c r="I398" i="1"/>
  <c r="I518" i="1" s="1"/>
  <c r="G318" i="1"/>
  <c r="G473" i="1" s="1"/>
  <c r="F121" i="1"/>
  <c r="F317" i="1"/>
  <c r="F472" i="1" s="1"/>
  <c r="J381" i="1"/>
  <c r="J512" i="1" s="1"/>
  <c r="G126" i="1"/>
  <c r="G196" i="1"/>
  <c r="G359" i="1" s="1"/>
  <c r="G426" i="1" s="1"/>
  <c r="F239" i="1"/>
  <c r="F314" i="1" s="1"/>
  <c r="F469" i="1" s="1"/>
  <c r="H196" i="1"/>
  <c r="H359" i="1" s="1"/>
  <c r="H426" i="1" s="1"/>
  <c r="G239" i="1"/>
  <c r="G314" i="1" s="1"/>
  <c r="G469" i="1" s="1"/>
  <c r="I900" i="1"/>
  <c r="K900" i="1"/>
  <c r="F362" i="1"/>
  <c r="J119" i="1"/>
  <c r="G900" i="1"/>
  <c r="G897" i="1"/>
  <c r="I897" i="1"/>
  <c r="K897" i="1"/>
  <c r="F897" i="1" l="1"/>
  <c r="F900" i="1"/>
  <c r="C2029" i="1" l="1"/>
  <c r="C2030" i="1"/>
  <c r="C2031" i="1"/>
  <c r="C2032" i="1"/>
  <c r="C2033" i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28" i="1"/>
  <c r="J2025" i="1"/>
  <c r="I2025" i="1"/>
  <c r="H2025" i="1"/>
  <c r="G2025" i="1"/>
  <c r="F2025" i="1"/>
  <c r="J2022" i="1"/>
  <c r="I2022" i="1"/>
  <c r="H2022" i="1"/>
  <c r="G2022" i="1"/>
  <c r="F2022" i="1"/>
  <c r="E1899" i="1"/>
  <c r="E1900" i="1" s="1"/>
  <c r="E1901" i="1" s="1"/>
  <c r="E1902" i="1" s="1"/>
  <c r="E1903" i="1" s="1"/>
  <c r="E1904" i="1" s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K1896" i="1"/>
  <c r="J1896" i="1"/>
  <c r="I1896" i="1"/>
  <c r="H1896" i="1"/>
  <c r="G1896" i="1"/>
  <c r="K1894" i="1"/>
  <c r="J1894" i="1"/>
  <c r="I1894" i="1"/>
  <c r="H1894" i="1"/>
  <c r="G1894" i="1"/>
  <c r="K1892" i="1"/>
  <c r="J1892" i="1"/>
  <c r="I1892" i="1"/>
  <c r="H1892" i="1"/>
  <c r="G1892" i="1"/>
  <c r="K1890" i="1"/>
  <c r="J1890" i="1"/>
  <c r="I1890" i="1"/>
  <c r="H1890" i="1"/>
  <c r="G1890" i="1"/>
  <c r="K1884" i="1"/>
  <c r="J1884" i="1"/>
  <c r="I1884" i="1"/>
  <c r="H1884" i="1"/>
  <c r="G1884" i="1"/>
  <c r="J1881" i="1"/>
  <c r="F1896" i="1"/>
  <c r="F1894" i="1"/>
  <c r="F1892" i="1"/>
  <c r="F1890" i="1"/>
  <c r="F1884" i="1"/>
  <c r="K1878" i="1"/>
  <c r="J1878" i="1"/>
  <c r="I1878" i="1"/>
  <c r="H1878" i="1"/>
  <c r="G1878" i="1"/>
  <c r="K1876" i="1"/>
  <c r="J1876" i="1"/>
  <c r="I1876" i="1"/>
  <c r="H1876" i="1"/>
  <c r="G1876" i="1"/>
  <c r="K1874" i="1"/>
  <c r="J1874" i="1"/>
  <c r="I1874" i="1"/>
  <c r="H1874" i="1"/>
  <c r="G1874" i="1"/>
  <c r="K1872" i="1"/>
  <c r="J1872" i="1"/>
  <c r="I1872" i="1"/>
  <c r="H1872" i="1"/>
  <c r="G1872" i="1"/>
  <c r="K1870" i="1"/>
  <c r="J1870" i="1"/>
  <c r="I1870" i="1"/>
  <c r="H1870" i="1"/>
  <c r="G1870" i="1"/>
  <c r="K1868" i="1"/>
  <c r="J1868" i="1"/>
  <c r="I1868" i="1"/>
  <c r="H1868" i="1"/>
  <c r="G1868" i="1"/>
  <c r="K1864" i="1"/>
  <c r="F1878" i="1"/>
  <c r="F1876" i="1"/>
  <c r="F1874" i="1"/>
  <c r="F1872" i="1"/>
  <c r="F1870" i="1"/>
  <c r="F1868" i="1"/>
  <c r="F1861" i="1"/>
  <c r="K1855" i="1"/>
  <c r="J1855" i="1"/>
  <c r="I1855" i="1"/>
  <c r="H1855" i="1"/>
  <c r="G1855" i="1"/>
  <c r="F1855" i="1"/>
  <c r="K1853" i="1"/>
  <c r="J1853" i="1"/>
  <c r="I1853" i="1"/>
  <c r="H1853" i="1"/>
  <c r="G1853" i="1"/>
  <c r="F1853" i="1"/>
  <c r="K1851" i="1"/>
  <c r="J1851" i="1"/>
  <c r="I1851" i="1"/>
  <c r="H1851" i="1"/>
  <c r="G1851" i="1"/>
  <c r="F1851" i="1"/>
  <c r="K1849" i="1"/>
  <c r="J1849" i="1"/>
  <c r="I1849" i="1"/>
  <c r="H1849" i="1"/>
  <c r="G1849" i="1"/>
  <c r="F1849" i="1"/>
  <c r="K1847" i="1"/>
  <c r="J1847" i="1"/>
  <c r="I1847" i="1"/>
  <c r="H1847" i="1"/>
  <c r="G1847" i="1"/>
  <c r="F1847" i="1"/>
  <c r="K1842" i="1"/>
  <c r="J1842" i="1"/>
  <c r="I1842" i="1"/>
  <c r="H1842" i="1"/>
  <c r="G1842" i="1"/>
  <c r="F1842" i="1"/>
  <c r="E1819" i="1"/>
  <c r="K1836" i="1"/>
  <c r="J1836" i="1"/>
  <c r="I1836" i="1"/>
  <c r="H1836" i="1"/>
  <c r="G1836" i="1"/>
  <c r="K1834" i="1"/>
  <c r="J1834" i="1"/>
  <c r="I1834" i="1"/>
  <c r="H1834" i="1"/>
  <c r="G1834" i="1"/>
  <c r="K1832" i="1"/>
  <c r="J1832" i="1"/>
  <c r="I1832" i="1"/>
  <c r="H1832" i="1"/>
  <c r="G1832" i="1"/>
  <c r="K1830" i="1"/>
  <c r="J1830" i="1"/>
  <c r="I1830" i="1"/>
  <c r="H1830" i="1"/>
  <c r="G1830" i="1"/>
  <c r="K1828" i="1"/>
  <c r="J1828" i="1"/>
  <c r="I1828" i="1"/>
  <c r="H1828" i="1"/>
  <c r="G1828" i="1"/>
  <c r="K1823" i="1"/>
  <c r="J1823" i="1"/>
  <c r="I1823" i="1"/>
  <c r="H1823" i="1"/>
  <c r="G1823" i="1"/>
  <c r="F1836" i="1"/>
  <c r="F1834" i="1"/>
  <c r="F1832" i="1"/>
  <c r="F1830" i="1"/>
  <c r="F1828" i="1"/>
  <c r="F1823" i="1"/>
  <c r="E1820" i="1"/>
  <c r="E1821" i="1" s="1"/>
  <c r="E1822" i="1" s="1"/>
  <c r="E1823" i="1" s="1"/>
  <c r="E1824" i="1" s="1"/>
  <c r="E1825" i="1" s="1"/>
  <c r="E1826" i="1" s="1"/>
  <c r="E1827" i="1" s="1"/>
  <c r="E1828" i="1" s="1"/>
  <c r="E1829" i="1" s="1"/>
  <c r="E1755" i="1"/>
  <c r="E1756" i="1" s="1"/>
  <c r="E1757" i="1" s="1"/>
  <c r="E1758" i="1" s="1"/>
  <c r="E1759" i="1" s="1"/>
  <c r="E1760" i="1" s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I1858" i="1" l="1"/>
  <c r="F1858" i="1"/>
  <c r="F1886" i="1"/>
  <c r="G1973" i="1"/>
  <c r="H1881" i="1"/>
  <c r="I1881" i="1"/>
  <c r="I2017" i="1"/>
  <c r="J2019" i="1"/>
  <c r="J2017" i="1"/>
  <c r="F2017" i="1"/>
  <c r="F2019" i="1"/>
  <c r="G2017" i="1"/>
  <c r="G2019" i="1"/>
  <c r="H2017" i="1"/>
  <c r="H2019" i="1"/>
  <c r="I2019" i="1"/>
  <c r="K2025" i="1"/>
  <c r="K2022" i="1"/>
  <c r="K2019" i="1"/>
  <c r="F1881" i="1"/>
  <c r="F1880" i="1" s="1"/>
  <c r="K1886" i="1"/>
  <c r="K1881" i="1"/>
  <c r="H2007" i="1"/>
  <c r="J2007" i="1"/>
  <c r="I2007" i="1"/>
  <c r="K2007" i="1"/>
  <c r="G2007" i="1"/>
  <c r="F2007" i="1"/>
  <c r="K1997" i="1"/>
  <c r="J1997" i="1"/>
  <c r="I1997" i="1"/>
  <c r="H1997" i="1"/>
  <c r="G1997" i="1"/>
  <c r="F1997" i="1"/>
  <c r="F1973" i="1"/>
  <c r="I1973" i="1"/>
  <c r="H1973" i="1"/>
  <c r="J1973" i="1"/>
  <c r="K1973" i="1"/>
  <c r="K1949" i="1"/>
  <c r="G1949" i="1"/>
  <c r="H1949" i="1"/>
  <c r="I1949" i="1"/>
  <c r="J1949" i="1"/>
  <c r="F1949" i="1"/>
  <c r="G1898" i="1"/>
  <c r="H1898" i="1"/>
  <c r="I1898" i="1"/>
  <c r="J1898" i="1"/>
  <c r="K1898" i="1"/>
  <c r="F1898" i="1"/>
  <c r="G1886" i="1"/>
  <c r="H1886" i="1"/>
  <c r="H1880" i="1" s="1"/>
  <c r="I1886" i="1"/>
  <c r="J1886" i="1"/>
  <c r="J1880" i="1" s="1"/>
  <c r="G1881" i="1"/>
  <c r="K1861" i="1"/>
  <c r="K1839" i="1"/>
  <c r="F1864" i="1"/>
  <c r="F1857" i="1" s="1"/>
  <c r="I1861" i="1"/>
  <c r="G1858" i="1"/>
  <c r="H1858" i="1"/>
  <c r="J1858" i="1"/>
  <c r="K1858" i="1"/>
  <c r="G1864" i="1"/>
  <c r="H1864" i="1"/>
  <c r="I1864" i="1"/>
  <c r="J1864" i="1"/>
  <c r="G1861" i="1"/>
  <c r="H1861" i="1"/>
  <c r="J1861" i="1"/>
  <c r="F1825" i="1"/>
  <c r="I1839" i="1"/>
  <c r="K1844" i="1"/>
  <c r="J1839" i="1"/>
  <c r="F1844" i="1"/>
  <c r="G1844" i="1"/>
  <c r="F1839" i="1"/>
  <c r="F1838" i="1" s="1"/>
  <c r="H1844" i="1"/>
  <c r="G1839" i="1"/>
  <c r="I1844" i="1"/>
  <c r="H1839" i="1"/>
  <c r="J1844" i="1"/>
  <c r="I1825" i="1"/>
  <c r="F1820" i="1"/>
  <c r="K1825" i="1"/>
  <c r="E1830" i="1"/>
  <c r="E1831" i="1" s="1"/>
  <c r="E1832" i="1" s="1"/>
  <c r="E1833" i="1" s="1"/>
  <c r="E1834" i="1" s="1"/>
  <c r="E1835" i="1" s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J1825" i="1"/>
  <c r="G1820" i="1"/>
  <c r="H1820" i="1"/>
  <c r="G1825" i="1"/>
  <c r="H1825" i="1"/>
  <c r="J1820" i="1"/>
  <c r="I1820" i="1"/>
  <c r="K1820" i="1"/>
  <c r="K1838" i="1" l="1"/>
  <c r="I1857" i="1"/>
  <c r="K2017" i="1"/>
  <c r="K1880" i="1"/>
  <c r="H1838" i="1"/>
  <c r="K1857" i="1"/>
  <c r="G1838" i="1"/>
  <c r="I1880" i="1"/>
  <c r="I1838" i="1"/>
  <c r="G1880" i="1"/>
  <c r="G1857" i="1"/>
  <c r="J1857" i="1"/>
  <c r="H1857" i="1"/>
  <c r="F1819" i="1"/>
  <c r="F1818" i="1" s="1"/>
  <c r="J1838" i="1"/>
  <c r="K1819" i="1"/>
  <c r="I1819" i="1"/>
  <c r="J1819" i="1"/>
  <c r="H1819" i="1"/>
  <c r="G1819" i="1"/>
  <c r="K1818" i="1" l="1"/>
  <c r="H1818" i="1"/>
  <c r="G1818" i="1"/>
  <c r="J1818" i="1"/>
  <c r="I1818" i="1"/>
  <c r="G1806" i="1"/>
  <c r="K1806" i="1"/>
  <c r="J1806" i="1"/>
  <c r="I1806" i="1"/>
  <c r="K1805" i="1"/>
  <c r="J1805" i="1"/>
  <c r="I1805" i="1"/>
  <c r="H1805" i="1"/>
  <c r="G1805" i="1"/>
  <c r="F1805" i="1"/>
  <c r="K1796" i="1"/>
  <c r="J1796" i="1"/>
  <c r="I1796" i="1"/>
  <c r="F1796" i="1"/>
  <c r="H1796" i="1"/>
  <c r="G1796" i="1"/>
  <c r="I1781" i="1"/>
  <c r="K1761" i="1"/>
  <c r="F1757" i="1"/>
  <c r="K1757" i="1"/>
  <c r="J1757" i="1"/>
  <c r="I1757" i="1"/>
  <c r="K1755" i="1"/>
  <c r="I1755" i="1"/>
  <c r="H1755" i="1"/>
  <c r="G1755" i="1"/>
  <c r="J1755" i="1"/>
  <c r="F1755" i="1"/>
  <c r="G1810" i="1" l="1"/>
  <c r="H1806" i="1"/>
  <c r="K1798" i="1"/>
  <c r="I1788" i="1"/>
  <c r="J1810" i="1"/>
  <c r="H1757" i="1"/>
  <c r="K1781" i="1"/>
  <c r="J1788" i="1"/>
  <c r="G1788" i="1"/>
  <c r="I1798" i="1"/>
  <c r="H1788" i="1"/>
  <c r="K1810" i="1"/>
  <c r="J1761" i="1"/>
  <c r="J1781" i="1"/>
  <c r="K1788" i="1"/>
  <c r="H1810" i="1"/>
  <c r="F1761" i="1"/>
  <c r="J1798" i="1"/>
  <c r="I1761" i="1"/>
  <c r="H1761" i="1"/>
  <c r="G1798" i="1"/>
  <c r="F1810" i="1"/>
  <c r="G1757" i="1"/>
  <c r="F1788" i="1"/>
  <c r="F1798" i="1"/>
  <c r="F1806" i="1"/>
  <c r="F1765" i="1"/>
  <c r="H1781" i="1"/>
  <c r="H1798" i="1"/>
  <c r="I1810" i="1"/>
  <c r="H1765" i="1"/>
  <c r="I1765" i="1"/>
  <c r="J1765" i="1"/>
  <c r="G1765" i="1"/>
  <c r="K1765" i="1"/>
  <c r="G1761" i="1"/>
  <c r="F1781" i="1"/>
  <c r="G1781" i="1"/>
  <c r="K1753" i="1"/>
  <c r="J1753" i="1"/>
  <c r="I1753" i="1"/>
  <c r="H1753" i="1"/>
  <c r="G1753" i="1"/>
  <c r="K1752" i="1"/>
  <c r="J1752" i="1"/>
  <c r="I1752" i="1"/>
  <c r="H1752" i="1"/>
  <c r="G1752" i="1"/>
  <c r="K1751" i="1"/>
  <c r="J1751" i="1"/>
  <c r="I1751" i="1"/>
  <c r="H1751" i="1"/>
  <c r="G1751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7" i="1"/>
  <c r="J1747" i="1"/>
  <c r="I1747" i="1"/>
  <c r="H1747" i="1"/>
  <c r="G1747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40" i="1"/>
  <c r="J1740" i="1"/>
  <c r="I1740" i="1"/>
  <c r="H1740" i="1"/>
  <c r="G1740" i="1"/>
  <c r="K1739" i="1"/>
  <c r="J1739" i="1"/>
  <c r="I1739" i="1"/>
  <c r="H1739" i="1"/>
  <c r="G1739" i="1"/>
  <c r="K1738" i="1"/>
  <c r="J1738" i="1"/>
  <c r="I1738" i="1"/>
  <c r="H1738" i="1"/>
  <c r="G1738" i="1"/>
  <c r="K1736" i="1"/>
  <c r="J1736" i="1"/>
  <c r="I1736" i="1"/>
  <c r="H1736" i="1"/>
  <c r="G1736" i="1"/>
  <c r="K1734" i="1"/>
  <c r="J1734" i="1"/>
  <c r="I1734" i="1"/>
  <c r="H1734" i="1"/>
  <c r="G1734" i="1"/>
  <c r="I1733" i="1"/>
  <c r="H1733" i="1"/>
  <c r="G1733" i="1"/>
  <c r="K1729" i="1"/>
  <c r="J1729" i="1"/>
  <c r="I1729" i="1"/>
  <c r="H1729" i="1"/>
  <c r="G1729" i="1"/>
  <c r="K1728" i="1"/>
  <c r="J1728" i="1"/>
  <c r="I1728" i="1"/>
  <c r="H1728" i="1"/>
  <c r="G1728" i="1"/>
  <c r="K1727" i="1"/>
  <c r="J1727" i="1"/>
  <c r="I1727" i="1"/>
  <c r="H1727" i="1"/>
  <c r="G1727" i="1"/>
  <c r="K1724" i="1"/>
  <c r="J1724" i="1"/>
  <c r="I1724" i="1"/>
  <c r="H1724" i="1"/>
  <c r="G1724" i="1"/>
  <c r="I1723" i="1"/>
  <c r="H1723" i="1"/>
  <c r="G1723" i="1"/>
  <c r="I1722" i="1"/>
  <c r="H1722" i="1"/>
  <c r="G1722" i="1"/>
  <c r="K1717" i="1"/>
  <c r="J1717" i="1"/>
  <c r="I1717" i="1"/>
  <c r="H1717" i="1"/>
  <c r="G1717" i="1"/>
  <c r="K1716" i="1"/>
  <c r="J1716" i="1"/>
  <c r="I1716" i="1"/>
  <c r="H1716" i="1"/>
  <c r="G1716" i="1"/>
  <c r="K1714" i="1"/>
  <c r="J1714" i="1"/>
  <c r="I1714" i="1"/>
  <c r="H1714" i="1"/>
  <c r="G1714" i="1"/>
  <c r="K1713" i="1"/>
  <c r="J1713" i="1"/>
  <c r="I1713" i="1"/>
  <c r="H1713" i="1"/>
  <c r="G1713" i="1"/>
  <c r="K1712" i="1"/>
  <c r="J1712" i="1"/>
  <c r="I1712" i="1"/>
  <c r="H1712" i="1"/>
  <c r="G1712" i="1"/>
  <c r="K1711" i="1"/>
  <c r="J1711" i="1"/>
  <c r="I1711" i="1"/>
  <c r="H1711" i="1"/>
  <c r="G1711" i="1"/>
  <c r="K1710" i="1"/>
  <c r="J1710" i="1"/>
  <c r="I1710" i="1"/>
  <c r="H1710" i="1"/>
  <c r="G1710" i="1"/>
  <c r="K1707" i="1"/>
  <c r="J1707" i="1"/>
  <c r="I1707" i="1"/>
  <c r="H1707" i="1"/>
  <c r="G1707" i="1"/>
  <c r="F1736" i="1"/>
  <c r="E1738" i="1"/>
  <c r="F1738" i="1"/>
  <c r="E1739" i="1"/>
  <c r="F1739" i="1"/>
  <c r="E1740" i="1"/>
  <c r="F1740" i="1"/>
  <c r="E1741" i="1"/>
  <c r="F1741" i="1"/>
  <c r="E1742" i="1"/>
  <c r="E1743" i="1"/>
  <c r="F1743" i="1"/>
  <c r="E1744" i="1"/>
  <c r="F1744" i="1"/>
  <c r="E1745" i="1"/>
  <c r="F1745" i="1"/>
  <c r="E1746" i="1"/>
  <c r="E1747" i="1"/>
  <c r="F1747" i="1"/>
  <c r="E1748" i="1"/>
  <c r="F1748" i="1"/>
  <c r="E1749" i="1"/>
  <c r="F1749" i="1"/>
  <c r="E1750" i="1"/>
  <c r="F1750" i="1"/>
  <c r="E1751" i="1"/>
  <c r="F1751" i="1"/>
  <c r="E1752" i="1"/>
  <c r="F1752" i="1"/>
  <c r="E1753" i="1"/>
  <c r="F1753" i="1"/>
  <c r="E1737" i="1"/>
  <c r="F1710" i="1"/>
  <c r="F1711" i="1"/>
  <c r="F1712" i="1"/>
  <c r="F1713" i="1"/>
  <c r="F1714" i="1"/>
  <c r="F1716" i="1"/>
  <c r="F1717" i="1"/>
  <c r="F1722" i="1"/>
  <c r="F1723" i="1"/>
  <c r="F1724" i="1"/>
  <c r="F1727" i="1"/>
  <c r="F1728" i="1"/>
  <c r="F1729" i="1"/>
  <c r="F1733" i="1"/>
  <c r="F1734" i="1"/>
  <c r="F1707" i="1"/>
  <c r="E1707" i="1"/>
  <c r="E1708" i="1" s="1"/>
  <c r="E1709" i="1" s="1"/>
  <c r="E1710" i="1" s="1"/>
  <c r="E1711" i="1" s="1"/>
  <c r="E1712" i="1" s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J1702" i="1"/>
  <c r="G12" i="4" s="1"/>
  <c r="I1702" i="1"/>
  <c r="F12" i="4" s="1"/>
  <c r="H1702" i="1"/>
  <c r="E12" i="4" s="1"/>
  <c r="F1702" i="1"/>
  <c r="C12" i="4" s="1"/>
  <c r="H1754" i="1" l="1"/>
  <c r="J1754" i="1"/>
  <c r="I1754" i="1"/>
  <c r="G1754" i="1"/>
  <c r="K1754" i="1"/>
  <c r="F1754" i="1"/>
  <c r="G1702" i="1"/>
  <c r="D12" i="4" s="1"/>
  <c r="K1702" i="1"/>
  <c r="H12" i="4" s="1"/>
  <c r="K1705" i="1" l="1"/>
  <c r="J1705" i="1"/>
  <c r="I1705" i="1"/>
  <c r="H1705" i="1"/>
  <c r="G1705" i="1"/>
  <c r="F1705" i="1"/>
  <c r="K1647" i="1"/>
  <c r="H6" i="4"/>
  <c r="G6" i="4"/>
  <c r="F6" i="4"/>
  <c r="E6" i="4"/>
  <c r="D6" i="4"/>
  <c r="C6" i="4"/>
  <c r="K1697" i="1"/>
  <c r="J1697" i="1"/>
  <c r="I1697" i="1"/>
  <c r="H1697" i="1"/>
  <c r="G1697" i="1"/>
  <c r="F1697" i="1"/>
  <c r="E1698" i="1"/>
  <c r="E1699" i="1" s="1"/>
  <c r="E1700" i="1" s="1"/>
  <c r="K1687" i="1"/>
  <c r="J1687" i="1"/>
  <c r="I1687" i="1"/>
  <c r="H1687" i="1"/>
  <c r="G1687" i="1"/>
  <c r="F1687" i="1"/>
  <c r="H1683" i="1"/>
  <c r="J1683" i="1"/>
  <c r="I1683" i="1"/>
  <c r="G1683" i="1"/>
  <c r="K1683" i="1"/>
  <c r="F1683" i="1"/>
  <c r="E1684" i="1"/>
  <c r="E1685" i="1" s="1"/>
  <c r="E1686" i="1" s="1"/>
  <c r="E1687" i="1" s="1"/>
  <c r="E1688" i="1" s="1"/>
  <c r="E1689" i="1" s="1"/>
  <c r="E1690" i="1" s="1"/>
  <c r="E1691" i="1" s="1"/>
  <c r="E1692" i="1" s="1"/>
  <c r="E1693" i="1" s="1"/>
  <c r="E1694" i="1" s="1"/>
  <c r="E1695" i="1" s="1"/>
  <c r="E1696" i="1" s="1"/>
  <c r="E1629" i="1"/>
  <c r="E1630" i="1" s="1"/>
  <c r="E1631" i="1" s="1"/>
  <c r="E1632" i="1" s="1"/>
  <c r="E1633" i="1" s="1"/>
  <c r="E1634" i="1" s="1"/>
  <c r="E1635" i="1" s="1"/>
  <c r="E1636" i="1" s="1"/>
  <c r="E1637" i="1" s="1"/>
  <c r="E1666" i="1"/>
  <c r="G1682" i="1"/>
  <c r="K1680" i="1"/>
  <c r="I1679" i="1"/>
  <c r="G1678" i="1"/>
  <c r="K1676" i="1"/>
  <c r="I1675" i="1"/>
  <c r="G1674" i="1"/>
  <c r="E1670" i="1"/>
  <c r="E1663" i="1"/>
  <c r="J1647" i="1"/>
  <c r="I1647" i="1"/>
  <c r="H1647" i="1"/>
  <c r="G1647" i="1"/>
  <c r="F1647" i="1"/>
  <c r="E1644" i="1"/>
  <c r="E1645" i="1" s="1"/>
  <c r="E1646" i="1" s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E1658" i="1" s="1"/>
  <c r="E1659" i="1" s="1"/>
  <c r="E1660" i="1" s="1"/>
  <c r="J1639" i="1"/>
  <c r="G1651" i="1" l="1"/>
  <c r="H1651" i="1"/>
  <c r="F1651" i="1"/>
  <c r="I1651" i="1"/>
  <c r="G1643" i="1"/>
  <c r="F1674" i="1"/>
  <c r="H1675" i="1"/>
  <c r="J1676" i="1"/>
  <c r="F1678" i="1"/>
  <c r="H1679" i="1"/>
  <c r="J1680" i="1"/>
  <c r="F1682" i="1"/>
  <c r="F1673" i="1"/>
  <c r="H1674" i="1"/>
  <c r="J1675" i="1"/>
  <c r="F1677" i="1"/>
  <c r="H1678" i="1"/>
  <c r="J1679" i="1"/>
  <c r="F1681" i="1"/>
  <c r="H1682" i="1"/>
  <c r="G1673" i="1"/>
  <c r="I1674" i="1"/>
  <c r="K1675" i="1"/>
  <c r="G1677" i="1"/>
  <c r="I1678" i="1"/>
  <c r="K1679" i="1"/>
  <c r="G1681" i="1"/>
  <c r="I1682" i="1"/>
  <c r="H1673" i="1"/>
  <c r="J1674" i="1"/>
  <c r="F1676" i="1"/>
  <c r="H1677" i="1"/>
  <c r="J1678" i="1"/>
  <c r="F1680" i="1"/>
  <c r="H1681" i="1"/>
  <c r="J1682" i="1"/>
  <c r="K1643" i="1"/>
  <c r="I1673" i="1"/>
  <c r="K1674" i="1"/>
  <c r="G1676" i="1"/>
  <c r="I1677" i="1"/>
  <c r="K1678" i="1"/>
  <c r="G1680" i="1"/>
  <c r="I1681" i="1"/>
  <c r="K1682" i="1"/>
  <c r="J1673" i="1"/>
  <c r="F1675" i="1"/>
  <c r="H1676" i="1"/>
  <c r="J1677" i="1"/>
  <c r="F1679" i="1"/>
  <c r="H1680" i="1"/>
  <c r="J1681" i="1"/>
  <c r="K1673" i="1"/>
  <c r="G1675" i="1"/>
  <c r="I1676" i="1"/>
  <c r="K1677" i="1"/>
  <c r="G1679" i="1"/>
  <c r="I1680" i="1"/>
  <c r="K1681" i="1"/>
  <c r="F1643" i="1"/>
  <c r="F1639" i="1"/>
  <c r="G1639" i="1"/>
  <c r="H1639" i="1"/>
  <c r="J1643" i="1"/>
  <c r="H1643" i="1"/>
  <c r="I1639" i="1"/>
  <c r="K1639" i="1"/>
  <c r="I1643" i="1"/>
  <c r="G1653" i="1"/>
  <c r="H1653" i="1"/>
  <c r="I1653" i="1"/>
  <c r="J1653" i="1"/>
  <c r="K1653" i="1"/>
  <c r="F1653" i="1"/>
  <c r="H1657" i="1" l="1"/>
  <c r="I1657" i="1"/>
  <c r="G1657" i="1"/>
  <c r="F1657" i="1"/>
  <c r="J1638" i="1"/>
  <c r="I1638" i="1"/>
  <c r="F1638" i="1"/>
  <c r="K1638" i="1"/>
  <c r="H1638" i="1"/>
  <c r="G1638" i="1"/>
  <c r="E1640" i="1" l="1"/>
  <c r="E1641" i="1" s="1"/>
  <c r="E1642" i="1" s="1"/>
  <c r="K1612" i="1"/>
  <c r="J1612" i="1"/>
  <c r="I1612" i="1"/>
  <c r="H1612" i="1"/>
  <c r="G1612" i="1"/>
  <c r="F1612" i="1"/>
  <c r="K1595" i="1"/>
  <c r="J1595" i="1"/>
  <c r="I1595" i="1"/>
  <c r="H1595" i="1"/>
  <c r="G1595" i="1"/>
  <c r="F1595" i="1"/>
  <c r="E1592" i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545" i="1"/>
  <c r="E1546" i="1" s="1"/>
  <c r="E1547" i="1" s="1"/>
  <c r="E1548" i="1" s="1"/>
  <c r="K1565" i="1"/>
  <c r="J1565" i="1"/>
  <c r="I1565" i="1"/>
  <c r="H1565" i="1"/>
  <c r="G1565" i="1"/>
  <c r="F1565" i="1"/>
  <c r="K1548" i="1"/>
  <c r="J1548" i="1"/>
  <c r="I1548" i="1"/>
  <c r="F1548" i="1"/>
  <c r="I1569" i="1" l="1"/>
  <c r="G1616" i="1"/>
  <c r="I1616" i="1"/>
  <c r="G1569" i="1"/>
  <c r="H1569" i="1"/>
  <c r="F1616" i="1"/>
  <c r="H1616" i="1"/>
  <c r="F1569" i="1"/>
  <c r="K1597" i="1"/>
  <c r="K1588" i="1"/>
  <c r="I1571" i="1"/>
  <c r="K1590" i="1"/>
  <c r="J1582" i="1"/>
  <c r="F1584" i="1"/>
  <c r="H1585" i="1"/>
  <c r="J1586" i="1"/>
  <c r="F1588" i="1"/>
  <c r="H1589" i="1"/>
  <c r="J1590" i="1"/>
  <c r="H1545" i="1"/>
  <c r="G1592" i="1"/>
  <c r="I1604" i="1"/>
  <c r="I1629" i="1"/>
  <c r="G1550" i="1"/>
  <c r="K1634" i="1"/>
  <c r="F1590" i="1"/>
  <c r="K1633" i="1"/>
  <c r="G1590" i="1"/>
  <c r="K1550" i="1"/>
  <c r="H1571" i="1"/>
  <c r="H1590" i="1"/>
  <c r="J1597" i="1"/>
  <c r="J1631" i="1"/>
  <c r="I1582" i="1"/>
  <c r="K1583" i="1"/>
  <c r="G1585" i="1"/>
  <c r="I1586" i="1"/>
  <c r="K1587" i="1"/>
  <c r="G1589" i="1"/>
  <c r="J1633" i="1"/>
  <c r="K1582" i="1"/>
  <c r="G1584" i="1"/>
  <c r="I1585" i="1"/>
  <c r="K1586" i="1"/>
  <c r="G1588" i="1"/>
  <c r="I1589" i="1"/>
  <c r="J1571" i="1"/>
  <c r="J1630" i="1"/>
  <c r="F1583" i="1"/>
  <c r="H1584" i="1"/>
  <c r="J1585" i="1"/>
  <c r="F1587" i="1"/>
  <c r="H1588" i="1"/>
  <c r="J1589" i="1"/>
  <c r="K1571" i="1"/>
  <c r="G1583" i="1"/>
  <c r="I1584" i="1"/>
  <c r="K1585" i="1"/>
  <c r="G1587" i="1"/>
  <c r="I1588" i="1"/>
  <c r="K1589" i="1"/>
  <c r="J1592" i="1"/>
  <c r="J1545" i="1"/>
  <c r="F1582" i="1"/>
  <c r="H1583" i="1"/>
  <c r="J1584" i="1"/>
  <c r="F1586" i="1"/>
  <c r="H1587" i="1"/>
  <c r="J1588" i="1"/>
  <c r="G1582" i="1"/>
  <c r="I1583" i="1"/>
  <c r="K1584" i="1"/>
  <c r="G1586" i="1"/>
  <c r="I1587" i="1"/>
  <c r="F1571" i="1"/>
  <c r="F1604" i="1"/>
  <c r="H1635" i="1"/>
  <c r="G1630" i="1"/>
  <c r="H1632" i="1"/>
  <c r="I1634" i="1"/>
  <c r="I1635" i="1"/>
  <c r="J1637" i="1"/>
  <c r="H1582" i="1"/>
  <c r="J1583" i="1"/>
  <c r="F1585" i="1"/>
  <c r="H1586" i="1"/>
  <c r="J1587" i="1"/>
  <c r="F1589" i="1"/>
  <c r="I1590" i="1"/>
  <c r="G1571" i="1"/>
  <c r="F1592" i="1"/>
  <c r="H1604" i="1"/>
  <c r="K1635" i="1"/>
  <c r="J1632" i="1"/>
  <c r="F1637" i="1"/>
  <c r="H1592" i="1"/>
  <c r="F1597" i="1"/>
  <c r="K1631" i="1"/>
  <c r="F1635" i="1"/>
  <c r="G1637" i="1"/>
  <c r="I1592" i="1"/>
  <c r="G1597" i="1"/>
  <c r="K1604" i="1"/>
  <c r="K1630" i="1"/>
  <c r="G1635" i="1"/>
  <c r="H1597" i="1"/>
  <c r="F1631" i="1"/>
  <c r="F1632" i="1"/>
  <c r="K1592" i="1"/>
  <c r="F1630" i="1"/>
  <c r="G1631" i="1"/>
  <c r="I1636" i="1"/>
  <c r="G1604" i="1"/>
  <c r="I1632" i="1"/>
  <c r="K1632" i="1"/>
  <c r="G1629" i="1"/>
  <c r="G1618" i="1"/>
  <c r="I1630" i="1"/>
  <c r="I1631" i="1"/>
  <c r="J1634" i="1"/>
  <c r="K1636" i="1"/>
  <c r="F1636" i="1"/>
  <c r="K1629" i="1"/>
  <c r="K1618" i="1"/>
  <c r="F1633" i="1"/>
  <c r="F1634" i="1"/>
  <c r="G1636" i="1"/>
  <c r="H1637" i="1"/>
  <c r="G1633" i="1"/>
  <c r="G1634" i="1"/>
  <c r="J1604" i="1"/>
  <c r="F1629" i="1"/>
  <c r="F1618" i="1"/>
  <c r="G1632" i="1"/>
  <c r="H1633" i="1"/>
  <c r="H1634" i="1"/>
  <c r="H1636" i="1"/>
  <c r="I1637" i="1"/>
  <c r="J1629" i="1"/>
  <c r="J1618" i="1"/>
  <c r="I1597" i="1"/>
  <c r="H1629" i="1"/>
  <c r="H1618" i="1"/>
  <c r="H1630" i="1"/>
  <c r="H1631" i="1"/>
  <c r="I1633" i="1"/>
  <c r="J1635" i="1"/>
  <c r="J1636" i="1"/>
  <c r="K1637" i="1"/>
  <c r="I1618" i="1"/>
  <c r="I1550" i="1"/>
  <c r="F1550" i="1"/>
  <c r="K1545" i="1"/>
  <c r="H1550" i="1"/>
  <c r="J1550" i="1"/>
  <c r="F1545" i="1"/>
  <c r="G1545" i="1"/>
  <c r="I1557" i="1"/>
  <c r="J1557" i="1"/>
  <c r="I1545" i="1"/>
  <c r="K1557" i="1"/>
  <c r="F1557" i="1"/>
  <c r="G1557" i="1"/>
  <c r="H1548" i="1"/>
  <c r="H1557" i="1"/>
  <c r="G1548" i="1"/>
  <c r="E1549" i="1"/>
  <c r="H1561" i="1" l="1"/>
  <c r="G1601" i="1"/>
  <c r="I1601" i="1"/>
  <c r="G1554" i="1"/>
  <c r="I1608" i="1"/>
  <c r="F1608" i="1"/>
  <c r="I1561" i="1"/>
  <c r="F1601" i="1"/>
  <c r="G1608" i="1"/>
  <c r="H1601" i="1"/>
  <c r="G1561" i="1"/>
  <c r="H1554" i="1"/>
  <c r="F1554" i="1"/>
  <c r="H1608" i="1"/>
  <c r="I1554" i="1"/>
  <c r="F1561" i="1"/>
  <c r="F1591" i="1"/>
  <c r="H1591" i="1"/>
  <c r="I1591" i="1"/>
  <c r="G1591" i="1"/>
  <c r="K1591" i="1"/>
  <c r="J1591" i="1"/>
  <c r="I1544" i="1"/>
  <c r="H1544" i="1"/>
  <c r="G1544" i="1"/>
  <c r="E1550" i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F1544" i="1"/>
  <c r="K1544" i="1"/>
  <c r="J1544" i="1"/>
  <c r="E1517" i="1" l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G1516" i="1" l="1"/>
  <c r="I1516" i="1"/>
  <c r="F1516" i="1"/>
  <c r="J1516" i="1"/>
  <c r="H1516" i="1"/>
  <c r="K1516" i="1"/>
  <c r="K1539" i="1" l="1"/>
  <c r="J1539" i="1"/>
  <c r="I1539" i="1"/>
  <c r="H1539" i="1"/>
  <c r="G1539" i="1"/>
  <c r="F1539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K1541" i="1"/>
  <c r="J1541" i="1"/>
  <c r="I1541" i="1"/>
  <c r="H1541" i="1"/>
  <c r="G1541" i="1"/>
  <c r="F1541" i="1"/>
  <c r="K1540" i="1"/>
  <c r="J1540" i="1"/>
  <c r="I1540" i="1"/>
  <c r="H1540" i="1"/>
  <c r="G1540" i="1"/>
  <c r="F1540" i="1"/>
  <c r="G1535" i="1"/>
  <c r="H1535" i="1"/>
  <c r="I1535" i="1"/>
  <c r="J1535" i="1"/>
  <c r="K1535" i="1"/>
  <c r="G1536" i="1"/>
  <c r="H1536" i="1"/>
  <c r="I1536" i="1"/>
  <c r="J1536" i="1"/>
  <c r="K1536" i="1"/>
  <c r="G1537" i="1"/>
  <c r="H1537" i="1"/>
  <c r="I1537" i="1"/>
  <c r="J1537" i="1"/>
  <c r="K1537" i="1"/>
  <c r="G1538" i="1"/>
  <c r="H1538" i="1"/>
  <c r="I1538" i="1"/>
  <c r="J1538" i="1"/>
  <c r="K1538" i="1"/>
  <c r="F1538" i="1"/>
  <c r="F1537" i="1"/>
  <c r="F1536" i="1"/>
  <c r="F1535" i="1"/>
  <c r="K1534" i="1"/>
  <c r="J1534" i="1"/>
  <c r="I1534" i="1"/>
  <c r="H1534" i="1"/>
  <c r="G1534" i="1"/>
  <c r="K1533" i="1"/>
  <c r="J1533" i="1"/>
  <c r="I1533" i="1"/>
  <c r="H1533" i="1"/>
  <c r="G1533" i="1"/>
  <c r="K1532" i="1"/>
  <c r="J1532" i="1"/>
  <c r="I1532" i="1"/>
  <c r="H1532" i="1"/>
  <c r="G1532" i="1"/>
  <c r="K1531" i="1"/>
  <c r="J1531" i="1"/>
  <c r="I1531" i="1"/>
  <c r="H1531" i="1"/>
  <c r="G1531" i="1"/>
  <c r="F1534" i="1"/>
  <c r="F1533" i="1"/>
  <c r="F1532" i="1"/>
  <c r="F1531" i="1"/>
  <c r="E1496" i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12" i="1" s="1"/>
  <c r="E1513" i="1" s="1"/>
  <c r="E1514" i="1" s="1"/>
  <c r="E1515" i="1" s="1"/>
  <c r="E1494" i="1"/>
  <c r="K1491" i="1"/>
  <c r="J1491" i="1"/>
  <c r="I1491" i="1"/>
  <c r="H1491" i="1"/>
  <c r="G1491" i="1"/>
  <c r="F1491" i="1"/>
  <c r="F1489" i="1"/>
  <c r="F1488" i="1" s="1"/>
  <c r="E1487" i="1"/>
  <c r="K1484" i="1"/>
  <c r="J1484" i="1"/>
  <c r="I1484" i="1"/>
  <c r="H1484" i="1"/>
  <c r="G1484" i="1"/>
  <c r="F1484" i="1"/>
  <c r="K1489" i="1"/>
  <c r="K1488" i="1" s="1"/>
  <c r="J1489" i="1"/>
  <c r="J1488" i="1" s="1"/>
  <c r="I1489" i="1"/>
  <c r="I1488" i="1" s="1"/>
  <c r="H1489" i="1"/>
  <c r="H1488" i="1" s="1"/>
  <c r="G1489" i="1"/>
  <c r="G1488" i="1" s="1"/>
  <c r="K1482" i="1"/>
  <c r="K1481" i="1" s="1"/>
  <c r="J1482" i="1"/>
  <c r="J1481" i="1" s="1"/>
  <c r="I1482" i="1"/>
  <c r="I1481" i="1" s="1"/>
  <c r="H1482" i="1"/>
  <c r="H1481" i="1" s="1"/>
  <c r="G1482" i="1"/>
  <c r="G1481" i="1" s="1"/>
  <c r="F1482" i="1"/>
  <c r="F1481" i="1" s="1"/>
  <c r="E1434" i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K1496" i="1" l="1"/>
  <c r="I1496" i="1"/>
  <c r="K1501" i="1"/>
  <c r="G1496" i="1"/>
  <c r="F1501" i="1"/>
  <c r="J1501" i="1"/>
  <c r="I1501" i="1"/>
  <c r="H1501" i="1"/>
  <c r="J1496" i="1"/>
  <c r="G1501" i="1"/>
  <c r="F1506" i="1"/>
  <c r="G1506" i="1"/>
  <c r="H1506" i="1"/>
  <c r="I1506" i="1"/>
  <c r="J1506" i="1"/>
  <c r="K1506" i="1"/>
  <c r="E1507" i="1"/>
  <c r="E1508" i="1" s="1"/>
  <c r="E1509" i="1" s="1"/>
  <c r="E1510" i="1" s="1"/>
  <c r="F1496" i="1"/>
  <c r="H1496" i="1"/>
  <c r="I1487" i="1"/>
  <c r="H1494" i="1"/>
  <c r="E1511" i="1"/>
  <c r="J1487" i="1"/>
  <c r="I1494" i="1"/>
  <c r="K1487" i="1"/>
  <c r="J1494" i="1"/>
  <c r="K1494" i="1"/>
  <c r="F1487" i="1"/>
  <c r="G1487" i="1"/>
  <c r="F1494" i="1"/>
  <c r="H1487" i="1"/>
  <c r="G1494" i="1"/>
  <c r="F1469" i="1"/>
  <c r="K1475" i="1"/>
  <c r="G1479" i="1"/>
  <c r="H1479" i="1"/>
  <c r="I1469" i="1"/>
  <c r="H1460" i="1"/>
  <c r="J1473" i="1"/>
  <c r="G1467" i="1"/>
  <c r="F1461" i="1"/>
  <c r="H1464" i="1"/>
  <c r="K1467" i="1"/>
  <c r="G1478" i="1"/>
  <c r="G1475" i="1"/>
  <c r="F1462" i="1"/>
  <c r="G1462" i="1"/>
  <c r="J1469" i="1"/>
  <c r="K1459" i="1"/>
  <c r="I1466" i="1"/>
  <c r="H1423" i="1"/>
  <c r="I1473" i="1"/>
  <c r="F1473" i="1"/>
  <c r="H1472" i="1"/>
  <c r="H1477" i="1"/>
  <c r="H1468" i="1"/>
  <c r="I1464" i="1"/>
  <c r="J1466" i="1"/>
  <c r="H1478" i="1"/>
  <c r="F1460" i="1"/>
  <c r="J1464" i="1"/>
  <c r="K1466" i="1"/>
  <c r="G1469" i="1"/>
  <c r="F1476" i="1"/>
  <c r="I1478" i="1"/>
  <c r="I1423" i="1"/>
  <c r="G1460" i="1"/>
  <c r="F1467" i="1"/>
  <c r="G1476" i="1"/>
  <c r="G1398" i="1"/>
  <c r="H1462" i="1"/>
  <c r="H1469" i="1"/>
  <c r="J1471" i="1"/>
  <c r="K1473" i="1"/>
  <c r="H1476" i="1"/>
  <c r="K1478" i="1"/>
  <c r="I1462" i="1"/>
  <c r="I1476" i="1"/>
  <c r="K1423" i="1"/>
  <c r="I1460" i="1"/>
  <c r="J1462" i="1"/>
  <c r="J1476" i="1"/>
  <c r="J1460" i="1"/>
  <c r="H1467" i="1"/>
  <c r="K1460" i="1"/>
  <c r="F1463" i="1"/>
  <c r="I1467" i="1"/>
  <c r="G1472" i="1"/>
  <c r="J1467" i="1"/>
  <c r="I1474" i="1"/>
  <c r="I1479" i="1"/>
  <c r="G1471" i="1"/>
  <c r="G1461" i="1"/>
  <c r="F1468" i="1"/>
  <c r="G1470" i="1"/>
  <c r="J1479" i="1"/>
  <c r="F1475" i="1"/>
  <c r="K1479" i="1"/>
  <c r="G1480" i="1"/>
  <c r="H1473" i="1"/>
  <c r="K1470" i="1"/>
  <c r="K1477" i="1"/>
  <c r="J1480" i="1"/>
  <c r="F1478" i="1"/>
  <c r="K1480" i="1"/>
  <c r="G1458" i="1"/>
  <c r="K1471" i="1"/>
  <c r="F1479" i="1"/>
  <c r="F1465" i="1"/>
  <c r="K1462" i="1"/>
  <c r="G1465" i="1"/>
  <c r="F1472" i="1"/>
  <c r="G1474" i="1"/>
  <c r="K1476" i="1"/>
  <c r="I1471" i="1"/>
  <c r="F1458" i="1"/>
  <c r="F1433" i="1"/>
  <c r="H1433" i="1"/>
  <c r="F1404" i="1"/>
  <c r="I1433" i="1"/>
  <c r="I1458" i="1"/>
  <c r="H1465" i="1"/>
  <c r="K1469" i="1"/>
  <c r="H1474" i="1"/>
  <c r="F1477" i="1"/>
  <c r="J1478" i="1"/>
  <c r="G1404" i="1"/>
  <c r="J1433" i="1"/>
  <c r="J1458" i="1"/>
  <c r="G1463" i="1"/>
  <c r="F1470" i="1"/>
  <c r="G1477" i="1"/>
  <c r="H1398" i="1"/>
  <c r="H1458" i="1"/>
  <c r="K1474" i="1"/>
  <c r="J1398" i="1"/>
  <c r="K1464" i="1"/>
  <c r="I1465" i="1"/>
  <c r="I1463" i="1"/>
  <c r="J1472" i="1"/>
  <c r="K1404" i="1"/>
  <c r="G1409" i="1"/>
  <c r="H1461" i="1"/>
  <c r="J1463" i="1"/>
  <c r="K1465" i="1"/>
  <c r="H1470" i="1"/>
  <c r="F1480" i="1"/>
  <c r="F1474" i="1"/>
  <c r="H1404" i="1"/>
  <c r="H1463" i="1"/>
  <c r="K1433" i="1"/>
  <c r="K1458" i="1"/>
  <c r="I1472" i="1"/>
  <c r="I1404" i="1"/>
  <c r="J1423" i="1"/>
  <c r="J1404" i="1"/>
  <c r="J1465" i="1"/>
  <c r="G1459" i="1"/>
  <c r="F1466" i="1"/>
  <c r="I1470" i="1"/>
  <c r="I1477" i="1"/>
  <c r="H1471" i="1"/>
  <c r="K1398" i="1"/>
  <c r="F1459" i="1"/>
  <c r="G1468" i="1"/>
  <c r="K1472" i="1"/>
  <c r="H1409" i="1"/>
  <c r="I1409" i="1"/>
  <c r="I1461" i="1"/>
  <c r="K1463" i="1"/>
  <c r="I1468" i="1"/>
  <c r="J1470" i="1"/>
  <c r="H1480" i="1"/>
  <c r="J1409" i="1"/>
  <c r="H1459" i="1"/>
  <c r="F1464" i="1"/>
  <c r="G1466" i="1"/>
  <c r="J1468" i="1"/>
  <c r="G1473" i="1"/>
  <c r="H1475" i="1"/>
  <c r="J1477" i="1"/>
  <c r="I1480" i="1"/>
  <c r="I1398" i="1"/>
  <c r="K1409" i="1"/>
  <c r="F1423" i="1"/>
  <c r="I1459" i="1"/>
  <c r="J1461" i="1"/>
  <c r="G1464" i="1"/>
  <c r="K1468" i="1"/>
  <c r="F1471" i="1"/>
  <c r="I1475" i="1"/>
  <c r="J1474" i="1"/>
  <c r="F1409" i="1"/>
  <c r="F1398" i="1"/>
  <c r="G1423" i="1"/>
  <c r="J1459" i="1"/>
  <c r="K1461" i="1"/>
  <c r="H1466" i="1"/>
  <c r="J1475" i="1"/>
  <c r="G1433" i="1"/>
  <c r="I1510" i="1" l="1"/>
  <c r="G1427" i="1"/>
  <c r="H1510" i="1"/>
  <c r="G1510" i="1"/>
  <c r="F1510" i="1"/>
  <c r="I1413" i="1"/>
  <c r="H1427" i="1"/>
  <c r="I1427" i="1"/>
  <c r="H1413" i="1"/>
  <c r="F1413" i="1"/>
  <c r="F1427" i="1"/>
  <c r="G1413" i="1"/>
  <c r="K1495" i="1"/>
  <c r="I1495" i="1"/>
  <c r="J1495" i="1"/>
  <c r="H1495" i="1"/>
  <c r="F1495" i="1"/>
  <c r="G1495" i="1"/>
  <c r="G1397" i="1"/>
  <c r="H1397" i="1"/>
  <c r="F1397" i="1"/>
  <c r="J1397" i="1"/>
  <c r="I1397" i="1"/>
  <c r="K1397" i="1"/>
  <c r="E1350" i="1" l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K1320" i="1" l="1"/>
  <c r="J1386" i="1"/>
  <c r="H1393" i="1"/>
  <c r="J1396" i="1"/>
  <c r="G1380" i="1"/>
  <c r="I1383" i="1"/>
  <c r="K1386" i="1"/>
  <c r="I1393" i="1"/>
  <c r="K1396" i="1"/>
  <c r="H1380" i="1"/>
  <c r="J1383" i="1"/>
  <c r="J1393" i="1"/>
  <c r="I1380" i="1"/>
  <c r="K1383" i="1"/>
  <c r="I1390" i="1"/>
  <c r="K1393" i="1"/>
  <c r="J1380" i="1"/>
  <c r="H1387" i="1"/>
  <c r="J1390" i="1"/>
  <c r="F1394" i="1"/>
  <c r="K1380" i="1"/>
  <c r="I1387" i="1"/>
  <c r="K1390" i="1"/>
  <c r="G1394" i="1"/>
  <c r="F1381" i="1"/>
  <c r="J1387" i="1"/>
  <c r="F1391" i="1"/>
  <c r="H1394" i="1"/>
  <c r="G1381" i="1"/>
  <c r="I1384" i="1"/>
  <c r="K1387" i="1"/>
  <c r="I1394" i="1"/>
  <c r="J1349" i="1"/>
  <c r="H1381" i="1"/>
  <c r="J1384" i="1"/>
  <c r="J1394" i="1"/>
  <c r="I1381" i="1"/>
  <c r="K1384" i="1"/>
  <c r="I1391" i="1"/>
  <c r="K1394" i="1"/>
  <c r="J1381" i="1"/>
  <c r="F1385" i="1"/>
  <c r="J1391" i="1"/>
  <c r="F1395" i="1"/>
  <c r="K1381" i="1"/>
  <c r="I1388" i="1"/>
  <c r="K1391" i="1"/>
  <c r="G1395" i="1"/>
  <c r="J1388" i="1"/>
  <c r="H1395" i="1"/>
  <c r="I1385" i="1"/>
  <c r="K1388" i="1"/>
  <c r="G1392" i="1"/>
  <c r="I1395" i="1"/>
  <c r="F1379" i="1"/>
  <c r="H1382" i="1"/>
  <c r="J1385" i="1"/>
  <c r="H1392" i="1"/>
  <c r="J1395" i="1"/>
  <c r="G1379" i="1"/>
  <c r="I1382" i="1"/>
  <c r="K1385" i="1"/>
  <c r="G1389" i="1"/>
  <c r="I1392" i="1"/>
  <c r="K1395" i="1"/>
  <c r="H1379" i="1"/>
  <c r="J1382" i="1"/>
  <c r="J1392" i="1"/>
  <c r="I1379" i="1"/>
  <c r="K1382" i="1"/>
  <c r="I1389" i="1"/>
  <c r="K1392" i="1"/>
  <c r="G1396" i="1"/>
  <c r="J1379" i="1"/>
  <c r="J1389" i="1"/>
  <c r="H1396" i="1"/>
  <c r="K1379" i="1"/>
  <c r="G1383" i="1"/>
  <c r="I1386" i="1"/>
  <c r="K1389" i="1"/>
  <c r="G1393" i="1"/>
  <c r="I1396" i="1"/>
  <c r="H1390" i="1"/>
  <c r="H1383" i="1"/>
  <c r="H1384" i="1"/>
  <c r="H1391" i="1"/>
  <c r="H1388" i="1"/>
  <c r="H1385" i="1"/>
  <c r="H1389" i="1"/>
  <c r="H1386" i="1"/>
  <c r="G1390" i="1"/>
  <c r="G1387" i="1"/>
  <c r="G1384" i="1"/>
  <c r="G1391" i="1"/>
  <c r="G1388" i="1"/>
  <c r="G1385" i="1"/>
  <c r="G1382" i="1"/>
  <c r="G1320" i="1"/>
  <c r="G1386" i="1"/>
  <c r="F1383" i="1"/>
  <c r="F1393" i="1"/>
  <c r="F1380" i="1"/>
  <c r="F1390" i="1"/>
  <c r="F1387" i="1"/>
  <c r="F1384" i="1"/>
  <c r="F1388" i="1"/>
  <c r="F1382" i="1"/>
  <c r="F1392" i="1"/>
  <c r="F1389" i="1"/>
  <c r="F1386" i="1"/>
  <c r="F1396" i="1"/>
  <c r="K1349" i="1"/>
  <c r="F1349" i="1"/>
  <c r="G1349" i="1"/>
  <c r="H1349" i="1"/>
  <c r="I1349" i="1"/>
  <c r="F1320" i="1"/>
  <c r="J1320" i="1"/>
  <c r="H1320" i="1"/>
  <c r="I1320" i="1"/>
  <c r="K1339" i="1"/>
  <c r="G1339" i="1"/>
  <c r="H1339" i="1"/>
  <c r="F1339" i="1"/>
  <c r="I1339" i="1"/>
  <c r="J1339" i="1"/>
  <c r="K1325" i="1"/>
  <c r="F1325" i="1"/>
  <c r="J1325" i="1"/>
  <c r="I1325" i="1"/>
  <c r="H1325" i="1"/>
  <c r="G1325" i="1"/>
  <c r="H1329" i="1" l="1"/>
  <c r="I1329" i="1"/>
  <c r="F1329" i="1"/>
  <c r="G1329" i="1"/>
  <c r="F1343" i="1"/>
  <c r="H1343" i="1"/>
  <c r="G1343" i="1"/>
  <c r="I1343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K1376" i="1"/>
  <c r="J1376" i="1"/>
  <c r="I1376" i="1"/>
  <c r="H1376" i="1"/>
  <c r="G1376" i="1"/>
  <c r="F1376" i="1"/>
  <c r="K1375" i="1"/>
  <c r="J1375" i="1"/>
  <c r="I1375" i="1"/>
  <c r="H1375" i="1"/>
  <c r="G1375" i="1"/>
  <c r="F1375" i="1"/>
  <c r="F1314" i="1" l="1"/>
  <c r="F1313" i="1" s="1"/>
  <c r="F1374" i="1"/>
  <c r="G1314" i="1"/>
  <c r="G1313" i="1" s="1"/>
  <c r="G1374" i="1"/>
  <c r="H1314" i="1"/>
  <c r="H1313" i="1" s="1"/>
  <c r="H1374" i="1"/>
  <c r="I1314" i="1"/>
  <c r="I1313" i="1" s="1"/>
  <c r="I1374" i="1"/>
  <c r="J1314" i="1"/>
  <c r="J1313" i="1" s="1"/>
  <c r="J1374" i="1"/>
  <c r="K1314" i="1"/>
  <c r="K1313" i="1" s="1"/>
  <c r="K1374" i="1"/>
  <c r="E1263" i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212" i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F1211" i="1" l="1"/>
  <c r="G1211" i="1"/>
  <c r="H1211" i="1"/>
  <c r="I1211" i="1"/>
  <c r="J1211" i="1"/>
  <c r="K1211" i="1"/>
  <c r="K1297" i="1" l="1"/>
  <c r="J1297" i="1"/>
  <c r="I1297" i="1"/>
  <c r="H1297" i="1"/>
  <c r="G1297" i="1"/>
  <c r="F1297" i="1"/>
  <c r="F1312" i="1"/>
  <c r="F1311" i="1"/>
  <c r="F1310" i="1"/>
  <c r="F1309" i="1"/>
  <c r="F1308" i="1"/>
  <c r="E1179" i="1"/>
  <c r="E1180" i="1" s="1"/>
  <c r="E1181" i="1" s="1"/>
  <c r="E1182" i="1" s="1"/>
  <c r="E1156" i="1"/>
  <c r="E1157" i="1" s="1"/>
  <c r="E1158" i="1" s="1"/>
  <c r="E1159" i="1" s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K1308" i="1"/>
  <c r="J1308" i="1"/>
  <c r="I1308" i="1"/>
  <c r="H1308" i="1"/>
  <c r="G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9" i="1"/>
  <c r="J1299" i="1"/>
  <c r="I1299" i="1"/>
  <c r="H1299" i="1"/>
  <c r="G1299" i="1"/>
  <c r="F1299" i="1"/>
  <c r="K1298" i="1"/>
  <c r="J1298" i="1"/>
  <c r="I1298" i="1"/>
  <c r="H1298" i="1"/>
  <c r="G1298" i="1"/>
  <c r="F1298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87" i="1"/>
  <c r="J1287" i="1"/>
  <c r="I1287" i="1"/>
  <c r="H1287" i="1"/>
  <c r="G1287" i="1"/>
  <c r="F1287" i="1"/>
  <c r="K1286" i="1"/>
  <c r="J1286" i="1"/>
  <c r="I1286" i="1"/>
  <c r="H1286" i="1"/>
  <c r="G1286" i="1"/>
  <c r="F1286" i="1"/>
  <c r="K1269" i="1" l="1"/>
  <c r="J1270" i="1"/>
  <c r="F1275" i="1"/>
  <c r="J1269" i="1"/>
  <c r="K1270" i="1"/>
  <c r="G1275" i="1"/>
  <c r="F1271" i="1"/>
  <c r="F1272" i="1"/>
  <c r="H1275" i="1"/>
  <c r="G1271" i="1"/>
  <c r="G1272" i="1"/>
  <c r="I1275" i="1"/>
  <c r="F1268" i="1"/>
  <c r="H1271" i="1"/>
  <c r="H1272" i="1"/>
  <c r="J1275" i="1"/>
  <c r="G1268" i="1"/>
  <c r="I1271" i="1"/>
  <c r="I1272" i="1"/>
  <c r="K1275" i="1"/>
  <c r="H1268" i="1"/>
  <c r="J1271" i="1"/>
  <c r="J1272" i="1"/>
  <c r="I1268" i="1"/>
  <c r="K1271" i="1"/>
  <c r="K1272" i="1"/>
  <c r="J1268" i="1"/>
  <c r="F1273" i="1"/>
  <c r="K1268" i="1"/>
  <c r="G1273" i="1"/>
  <c r="F1269" i="1"/>
  <c r="H1273" i="1"/>
  <c r="G1269" i="1"/>
  <c r="I1273" i="1"/>
  <c r="H1269" i="1"/>
  <c r="J1273" i="1"/>
  <c r="I1269" i="1"/>
  <c r="K1273" i="1"/>
  <c r="F1274" i="1"/>
  <c r="G1274" i="1"/>
  <c r="F1270" i="1"/>
  <c r="H1274" i="1"/>
  <c r="G1270" i="1"/>
  <c r="I1274" i="1"/>
  <c r="H1270" i="1"/>
  <c r="J1274" i="1"/>
  <c r="I1270" i="1"/>
  <c r="K1274" i="1"/>
  <c r="K1201" i="1"/>
  <c r="K1178" i="1"/>
  <c r="H1201" i="1"/>
  <c r="J1201" i="1"/>
  <c r="F1178" i="1"/>
  <c r="H1178" i="1"/>
  <c r="J1178" i="1"/>
  <c r="F1201" i="1"/>
  <c r="I1178" i="1"/>
  <c r="G1201" i="1"/>
  <c r="G1178" i="1"/>
  <c r="I1201" i="1"/>
  <c r="I1182" i="1" l="1"/>
  <c r="F1182" i="1"/>
  <c r="F1205" i="1"/>
  <c r="G1182" i="1"/>
  <c r="G1205" i="1"/>
  <c r="H1205" i="1"/>
  <c r="H1182" i="1"/>
  <c r="I1205" i="1"/>
  <c r="J1312" i="1"/>
  <c r="K1312" i="1"/>
  <c r="G1312" i="1"/>
  <c r="I1312" i="1"/>
  <c r="H1312" i="1"/>
  <c r="K1285" i="1" l="1"/>
  <c r="J1285" i="1"/>
  <c r="I1285" i="1"/>
  <c r="H1285" i="1"/>
  <c r="G1285" i="1"/>
  <c r="F1285" i="1"/>
  <c r="K1284" i="1"/>
  <c r="J1284" i="1"/>
  <c r="I1284" i="1"/>
  <c r="H1284" i="1"/>
  <c r="G1284" i="1"/>
  <c r="F1284" i="1"/>
  <c r="K1283" i="1"/>
  <c r="J1283" i="1"/>
  <c r="I1283" i="1"/>
  <c r="H1283" i="1"/>
  <c r="G1283" i="1"/>
  <c r="F1283" i="1"/>
  <c r="F1282" i="1"/>
  <c r="G1282" i="1"/>
  <c r="H1282" i="1"/>
  <c r="I1282" i="1"/>
  <c r="J1282" i="1"/>
  <c r="K1282" i="1"/>
  <c r="K1281" i="1"/>
  <c r="J1281" i="1"/>
  <c r="I1281" i="1"/>
  <c r="H1281" i="1"/>
  <c r="G1281" i="1"/>
  <c r="F1281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J1155" i="1" l="1"/>
  <c r="G1155" i="1"/>
  <c r="H1155" i="1"/>
  <c r="F1155" i="1"/>
  <c r="I1155" i="1"/>
  <c r="K1155" i="1"/>
  <c r="K1278" i="1"/>
  <c r="J1278" i="1"/>
  <c r="I1278" i="1"/>
  <c r="H1278" i="1"/>
  <c r="G1278" i="1"/>
  <c r="F1278" i="1"/>
  <c r="K1277" i="1"/>
  <c r="J1277" i="1"/>
  <c r="I1277" i="1"/>
  <c r="H1277" i="1"/>
  <c r="G1277" i="1"/>
  <c r="F1277" i="1"/>
  <c r="K1276" i="1"/>
  <c r="J1276" i="1"/>
  <c r="I1276" i="1"/>
  <c r="H1276" i="1"/>
  <c r="G1276" i="1"/>
  <c r="F1276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K1265" i="1"/>
  <c r="J1265" i="1"/>
  <c r="I1265" i="1"/>
  <c r="H1265" i="1"/>
  <c r="G1265" i="1"/>
  <c r="F1265" i="1"/>
  <c r="K1264" i="1"/>
  <c r="J1264" i="1"/>
  <c r="I1264" i="1"/>
  <c r="H1264" i="1"/>
  <c r="G1264" i="1"/>
  <c r="F1264" i="1"/>
  <c r="J1263" i="1"/>
  <c r="I1263" i="1"/>
  <c r="H1263" i="1"/>
  <c r="G1263" i="1"/>
  <c r="F1263" i="1"/>
  <c r="H1159" i="1" l="1"/>
  <c r="F1159" i="1"/>
  <c r="G1159" i="1"/>
  <c r="I1159" i="1"/>
  <c r="K1135" i="1"/>
  <c r="K1263" i="1"/>
  <c r="J1135" i="1"/>
  <c r="F1135" i="1"/>
  <c r="I1135" i="1"/>
  <c r="G1135" i="1"/>
  <c r="H1135" i="1"/>
  <c r="K1150" i="1"/>
  <c r="H1150" i="1"/>
  <c r="J1150" i="1"/>
  <c r="G1150" i="1"/>
  <c r="I1150" i="1"/>
  <c r="F1150" i="1"/>
  <c r="G1129" i="1"/>
  <c r="G1128" i="1"/>
  <c r="G1127" i="1"/>
  <c r="G1126" i="1"/>
  <c r="K1134" i="1" l="1"/>
  <c r="H7" i="4" s="1"/>
  <c r="F1134" i="1"/>
  <c r="C7" i="4" s="1"/>
  <c r="H1134" i="1"/>
  <c r="E7" i="4" s="1"/>
  <c r="G1134" i="1"/>
  <c r="D7" i="4" s="1"/>
  <c r="I1134" i="1"/>
  <c r="F7" i="4" s="1"/>
  <c r="J1134" i="1"/>
  <c r="G7" i="4" s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K1073" i="1"/>
  <c r="J1073" i="1"/>
  <c r="I1073" i="1"/>
  <c r="H1073" i="1"/>
  <c r="G1073" i="1"/>
  <c r="F1073" i="1"/>
  <c r="G1071" i="1"/>
  <c r="H1071" i="1"/>
  <c r="I1071" i="1"/>
  <c r="J1071" i="1"/>
  <c r="K1071" i="1"/>
  <c r="F1071" i="1"/>
  <c r="K1063" i="1"/>
  <c r="J1063" i="1"/>
  <c r="I1063" i="1"/>
  <c r="H1063" i="1"/>
  <c r="G1063" i="1"/>
  <c r="F1063" i="1"/>
  <c r="J1058" i="1"/>
  <c r="H1058" i="1"/>
  <c r="G1058" i="1"/>
  <c r="F1058" i="1"/>
  <c r="K451" i="1"/>
  <c r="J451" i="1"/>
  <c r="I451" i="1"/>
  <c r="H451" i="1"/>
  <c r="G451" i="1"/>
  <c r="F451" i="1"/>
  <c r="K221" i="1"/>
  <c r="J221" i="1"/>
  <c r="I221" i="1"/>
  <c r="H221" i="1"/>
  <c r="G221" i="1"/>
  <c r="F221" i="1"/>
  <c r="C213" i="1"/>
  <c r="C211" i="1"/>
  <c r="C189" i="1"/>
  <c r="E1034" i="1"/>
  <c r="E1035" i="1" s="1"/>
  <c r="K1038" i="1"/>
  <c r="J1038" i="1"/>
  <c r="I1038" i="1"/>
  <c r="H1038" i="1"/>
  <c r="G1038" i="1"/>
  <c r="F1038" i="1"/>
  <c r="K1036" i="1"/>
  <c r="J1036" i="1"/>
  <c r="I1036" i="1"/>
  <c r="H1036" i="1"/>
  <c r="G1036" i="1"/>
  <c r="F1036" i="1"/>
  <c r="K1029" i="1"/>
  <c r="J1029" i="1"/>
  <c r="I1029" i="1"/>
  <c r="H1029" i="1"/>
  <c r="G1029" i="1"/>
  <c r="F1029" i="1"/>
  <c r="K1024" i="1"/>
  <c r="J1024" i="1"/>
  <c r="I1024" i="1"/>
  <c r="H1024" i="1"/>
  <c r="G1024" i="1"/>
  <c r="F1024" i="1"/>
  <c r="G1026" i="1"/>
  <c r="H1026" i="1"/>
  <c r="I1026" i="1"/>
  <c r="J1026" i="1"/>
  <c r="K1026" i="1"/>
  <c r="F1026" i="1"/>
  <c r="K1021" i="1"/>
  <c r="J1021" i="1"/>
  <c r="I1021" i="1"/>
  <c r="H1021" i="1"/>
  <c r="G1021" i="1"/>
  <c r="F1021" i="1"/>
  <c r="F1118" i="1" l="1"/>
  <c r="K1118" i="1"/>
  <c r="J1118" i="1"/>
  <c r="I1118" i="1"/>
  <c r="H1118" i="1"/>
  <c r="G1118" i="1"/>
  <c r="F1120" i="1"/>
  <c r="I1084" i="1"/>
  <c r="G1120" i="1"/>
  <c r="H1120" i="1"/>
  <c r="K1084" i="1"/>
  <c r="I1120" i="1"/>
  <c r="J1120" i="1"/>
  <c r="K1120" i="1"/>
  <c r="I1070" i="1"/>
  <c r="I1096" i="1" s="1"/>
  <c r="H1101" i="1"/>
  <c r="J1101" i="1"/>
  <c r="F1086" i="1"/>
  <c r="G1086" i="1"/>
  <c r="H1086" i="1"/>
  <c r="I1086" i="1"/>
  <c r="F1101" i="1"/>
  <c r="J1086" i="1"/>
  <c r="I1101" i="1"/>
  <c r="K1086" i="1"/>
  <c r="G1101" i="1"/>
  <c r="K1101" i="1"/>
  <c r="K1058" i="1"/>
  <c r="I1058" i="1"/>
  <c r="H1060" i="1"/>
  <c r="I1060" i="1"/>
  <c r="F1060" i="1"/>
  <c r="K1070" i="1"/>
  <c r="K1096" i="1" s="1"/>
  <c r="J1070" i="1"/>
  <c r="J1096" i="1" s="1"/>
  <c r="G1070" i="1"/>
  <c r="G1096" i="1" s="1"/>
  <c r="G1060" i="1"/>
  <c r="H1070" i="1"/>
  <c r="H1096" i="1" s="1"/>
  <c r="J1060" i="1"/>
  <c r="K1060" i="1"/>
  <c r="F1070" i="1"/>
  <c r="F1096" i="1" s="1"/>
  <c r="I1035" i="1"/>
  <c r="G1035" i="1"/>
  <c r="K1035" i="1"/>
  <c r="F1035" i="1"/>
  <c r="H1035" i="1"/>
  <c r="J1035" i="1"/>
  <c r="F1023" i="1"/>
  <c r="F1020" i="1" s="1"/>
  <c r="G1023" i="1"/>
  <c r="G1020" i="1" s="1"/>
  <c r="H1023" i="1"/>
  <c r="H1020" i="1" s="1"/>
  <c r="I1023" i="1"/>
  <c r="I1020" i="1" s="1"/>
  <c r="J1023" i="1"/>
  <c r="J1020" i="1" s="1"/>
  <c r="K1023" i="1"/>
  <c r="K1020" i="1" s="1"/>
  <c r="F1091" i="1" l="1"/>
  <c r="G1091" i="1"/>
  <c r="I1091" i="1"/>
  <c r="H1091" i="1"/>
  <c r="J1091" i="1"/>
  <c r="K1091" i="1"/>
  <c r="G1084" i="1"/>
  <c r="G1097" i="1"/>
  <c r="G1130" i="1"/>
  <c r="K1097" i="1"/>
  <c r="K1130" i="1"/>
  <c r="J1099" i="1"/>
  <c r="J1131" i="1"/>
  <c r="I1099" i="1"/>
  <c r="I1131" i="1"/>
  <c r="F1099" i="1"/>
  <c r="F1131" i="1"/>
  <c r="J1084" i="1"/>
  <c r="I1103" i="1"/>
  <c r="I1133" i="1"/>
  <c r="F1103" i="1"/>
  <c r="F1133" i="1"/>
  <c r="F1084" i="1"/>
  <c r="K1103" i="1"/>
  <c r="K1133" i="1"/>
  <c r="G1099" i="1"/>
  <c r="G1131" i="1"/>
  <c r="H1103" i="1"/>
  <c r="H1133" i="1"/>
  <c r="J1103" i="1"/>
  <c r="J1133" i="1"/>
  <c r="F1097" i="1"/>
  <c r="F1130" i="1"/>
  <c r="H1099" i="1"/>
  <c r="H1131" i="1"/>
  <c r="G1103" i="1"/>
  <c r="G1133" i="1"/>
  <c r="J1097" i="1"/>
  <c r="J1130" i="1"/>
  <c r="I1097" i="1"/>
  <c r="I1130" i="1"/>
  <c r="H1097" i="1"/>
  <c r="H1130" i="1"/>
  <c r="K1099" i="1"/>
  <c r="K1131" i="1"/>
  <c r="H1084" i="1"/>
  <c r="K1014" i="1" l="1"/>
  <c r="K1015" i="1" s="1"/>
  <c r="K1112" i="1" s="1"/>
  <c r="J1014" i="1"/>
  <c r="J1015" i="1" s="1"/>
  <c r="J1112" i="1" s="1"/>
  <c r="I1014" i="1"/>
  <c r="I1015" i="1" s="1"/>
  <c r="I1112" i="1" s="1"/>
  <c r="H1014" i="1"/>
  <c r="H1015" i="1" s="1"/>
  <c r="H1112" i="1" s="1"/>
  <c r="G1014" i="1"/>
  <c r="G1015" i="1" s="1"/>
  <c r="G1112" i="1" s="1"/>
  <c r="F1014" i="1"/>
  <c r="F1015" i="1" s="1"/>
  <c r="F1112" i="1" s="1"/>
  <c r="G1019" i="1" l="1"/>
  <c r="G1018" i="1" s="1"/>
  <c r="G1117" i="1"/>
  <c r="H1019" i="1"/>
  <c r="H1018" i="1" s="1"/>
  <c r="H1117" i="1"/>
  <c r="I1019" i="1"/>
  <c r="I1018" i="1" s="1"/>
  <c r="I1117" i="1"/>
  <c r="J1019" i="1"/>
  <c r="J1018" i="1" s="1"/>
  <c r="J1117" i="1"/>
  <c r="K1019" i="1"/>
  <c r="K1018" i="1" s="1"/>
  <c r="K1117" i="1"/>
  <c r="F1019" i="1"/>
  <c r="F1018" i="1" s="1"/>
  <c r="F1117" i="1"/>
  <c r="K1034" i="1" l="1"/>
  <c r="J1034" i="1"/>
  <c r="J1031" i="1"/>
  <c r="J1032" i="1" s="1"/>
  <c r="I1031" i="1"/>
  <c r="I1032" i="1" s="1"/>
  <c r="H1031" i="1"/>
  <c r="H1032" i="1" s="1"/>
  <c r="F1031" i="1"/>
  <c r="F1032" i="1" s="1"/>
  <c r="G1031" i="1" l="1"/>
  <c r="G1032" i="1" s="1"/>
  <c r="K1031" i="1"/>
  <c r="K1032" i="1" s="1"/>
  <c r="H1034" i="1" l="1"/>
  <c r="I1034" i="1"/>
  <c r="F1034" i="1"/>
  <c r="G1034" i="1"/>
  <c r="G1055" i="1" l="1"/>
  <c r="J1055" i="1"/>
  <c r="K1055" i="1"/>
  <c r="F1055" i="1"/>
  <c r="H1055" i="1"/>
  <c r="I1055" i="1"/>
  <c r="H1081" i="1" l="1"/>
  <c r="F1081" i="1"/>
  <c r="J1081" i="1"/>
  <c r="G1081" i="1"/>
  <c r="K1081" i="1"/>
  <c r="I1081" i="1"/>
  <c r="K1110" i="1" l="1"/>
  <c r="J1110" i="1"/>
  <c r="I1110" i="1"/>
  <c r="H1110" i="1"/>
  <c r="G1110" i="1"/>
  <c r="F1110" i="1"/>
  <c r="G1109" i="1"/>
  <c r="H1109" i="1"/>
  <c r="I1109" i="1"/>
  <c r="J1109" i="1"/>
  <c r="K1109" i="1"/>
  <c r="G1123" i="1"/>
  <c r="H1123" i="1"/>
  <c r="I1123" i="1"/>
  <c r="J1123" i="1"/>
  <c r="K1123" i="1"/>
  <c r="F1109" i="1"/>
  <c r="K1121" i="1"/>
  <c r="J1121" i="1"/>
  <c r="I1121" i="1"/>
  <c r="H1121" i="1"/>
  <c r="G1121" i="1"/>
  <c r="K1108" i="1"/>
  <c r="J1108" i="1"/>
  <c r="I1108" i="1"/>
  <c r="H1108" i="1"/>
  <c r="G1108" i="1"/>
  <c r="K1107" i="1"/>
  <c r="J1107" i="1"/>
  <c r="I1107" i="1"/>
  <c r="H1107" i="1"/>
  <c r="G1107" i="1"/>
  <c r="F1121" i="1"/>
  <c r="F1108" i="1"/>
  <c r="F1107" i="1"/>
  <c r="K992" i="1" l="1"/>
  <c r="J992" i="1"/>
  <c r="F1122" i="1"/>
  <c r="F1111" i="1"/>
  <c r="G1111" i="1"/>
  <c r="G1122" i="1"/>
  <c r="H1111" i="1"/>
  <c r="H1122" i="1"/>
  <c r="I1111" i="1"/>
  <c r="I1122" i="1"/>
  <c r="J1111" i="1"/>
  <c r="J1122" i="1"/>
  <c r="K1111" i="1"/>
  <c r="K1122" i="1"/>
  <c r="F1125" i="1"/>
  <c r="G1125" i="1"/>
  <c r="H1125" i="1"/>
  <c r="I1125" i="1"/>
  <c r="J1125" i="1"/>
  <c r="F988" i="1"/>
  <c r="F1123" i="1"/>
  <c r="K1125" i="1"/>
  <c r="G995" i="1"/>
  <c r="F995" i="1"/>
  <c r="H995" i="1"/>
  <c r="K995" i="1"/>
  <c r="G992" i="1"/>
  <c r="G1012" i="1" s="1"/>
  <c r="G1009" i="1" s="1"/>
  <c r="H992" i="1"/>
  <c r="H1005" i="1" s="1"/>
  <c r="H1124" i="1" s="1"/>
  <c r="I992" i="1"/>
  <c r="I1003" i="1" s="1"/>
  <c r="I1000" i="1" s="1"/>
  <c r="I995" i="1"/>
  <c r="J995" i="1"/>
  <c r="F992" i="1"/>
  <c r="F1005" i="1" s="1"/>
  <c r="F1124" i="1" s="1"/>
  <c r="I975" i="1"/>
  <c r="F990" i="1"/>
  <c r="F991" i="1" s="1"/>
  <c r="J990" i="1"/>
  <c r="J991" i="1" s="1"/>
  <c r="J988" i="1"/>
  <c r="K990" i="1"/>
  <c r="K991" i="1" s="1"/>
  <c r="K988" i="1"/>
  <c r="I990" i="1"/>
  <c r="I991" i="1" s="1"/>
  <c r="I988" i="1"/>
  <c r="H990" i="1"/>
  <c r="H991" i="1" s="1"/>
  <c r="H988" i="1"/>
  <c r="G990" i="1"/>
  <c r="G991" i="1" s="1"/>
  <c r="G988" i="1"/>
  <c r="K985" i="1"/>
  <c r="K984" i="1" s="1"/>
  <c r="J985" i="1"/>
  <c r="J984" i="1" s="1"/>
  <c r="I985" i="1"/>
  <c r="I984" i="1" s="1"/>
  <c r="H985" i="1"/>
  <c r="H984" i="1" s="1"/>
  <c r="G985" i="1"/>
  <c r="G984" i="1" s="1"/>
  <c r="F985" i="1"/>
  <c r="F987" i="1" s="1"/>
  <c r="F986" i="1" s="1"/>
  <c r="K972" i="1"/>
  <c r="H975" i="1"/>
  <c r="J975" i="1"/>
  <c r="K975" i="1"/>
  <c r="G975" i="1"/>
  <c r="H972" i="1"/>
  <c r="I972" i="1"/>
  <c r="G972" i="1"/>
  <c r="J972" i="1"/>
  <c r="F975" i="1"/>
  <c r="F972" i="1"/>
  <c r="K1003" i="1" l="1"/>
  <c r="K1000" i="1" s="1"/>
  <c r="K1005" i="1"/>
  <c r="K1004" i="1" s="1"/>
  <c r="J1012" i="1"/>
  <c r="J1009" i="1" s="1"/>
  <c r="J1005" i="1"/>
  <c r="J1002" i="1"/>
  <c r="J999" i="1" s="1"/>
  <c r="K1012" i="1"/>
  <c r="K1009" i="1" s="1"/>
  <c r="J1003" i="1"/>
  <c r="J1000" i="1" s="1"/>
  <c r="G1005" i="1"/>
  <c r="G1124" i="1" s="1"/>
  <c r="K1002" i="1"/>
  <c r="I1002" i="1"/>
  <c r="I999" i="1" s="1"/>
  <c r="I998" i="1" s="1"/>
  <c r="J1050" i="1"/>
  <c r="J1047" i="1" s="1"/>
  <c r="J1048" i="1" s="1"/>
  <c r="G1050" i="1"/>
  <c r="G1047" i="1" s="1"/>
  <c r="G1048" i="1" s="1"/>
  <c r="H1050" i="1"/>
  <c r="H1047" i="1" s="1"/>
  <c r="H1048" i="1" s="1"/>
  <c r="I1050" i="1"/>
  <c r="I1047" i="1" s="1"/>
  <c r="I1048" i="1" s="1"/>
  <c r="I1005" i="1"/>
  <c r="I1124" i="1" s="1"/>
  <c r="K1050" i="1"/>
  <c r="K1047" i="1" s="1"/>
  <c r="K1048" i="1" s="1"/>
  <c r="F1050" i="1"/>
  <c r="F1047" i="1" s="1"/>
  <c r="F1048" i="1" s="1"/>
  <c r="G1002" i="1"/>
  <c r="G999" i="1" s="1"/>
  <c r="H1002" i="1"/>
  <c r="H999" i="1" s="1"/>
  <c r="H1003" i="1"/>
  <c r="H1000" i="1" s="1"/>
  <c r="G1003" i="1"/>
  <c r="G1000" i="1" s="1"/>
  <c r="F1003" i="1"/>
  <c r="F1000" i="1" s="1"/>
  <c r="I1012" i="1"/>
  <c r="I1009" i="1" s="1"/>
  <c r="H1011" i="1"/>
  <c r="H1008" i="1" s="1"/>
  <c r="F1002" i="1"/>
  <c r="F999" i="1" s="1"/>
  <c r="F1012" i="1"/>
  <c r="F1009" i="1" s="1"/>
  <c r="H1012" i="1"/>
  <c r="H1004" i="1"/>
  <c r="F1011" i="1"/>
  <c r="F1008" i="1" s="1"/>
  <c r="F1004" i="1"/>
  <c r="G987" i="1"/>
  <c r="G986" i="1" s="1"/>
  <c r="G982" i="1" s="1"/>
  <c r="J987" i="1"/>
  <c r="J986" i="1" s="1"/>
  <c r="J982" i="1" s="1"/>
  <c r="H987" i="1"/>
  <c r="H986" i="1" s="1"/>
  <c r="H982" i="1" s="1"/>
  <c r="K987" i="1"/>
  <c r="K986" i="1" s="1"/>
  <c r="K982" i="1" s="1"/>
  <c r="I987" i="1"/>
  <c r="I986" i="1" s="1"/>
  <c r="I982" i="1" s="1"/>
  <c r="F984" i="1"/>
  <c r="F982" i="1" s="1"/>
  <c r="K1124" i="1" l="1"/>
  <c r="K1011" i="1"/>
  <c r="J1124" i="1"/>
  <c r="J1004" i="1"/>
  <c r="J1011" i="1"/>
  <c r="K1001" i="1"/>
  <c r="K999" i="1"/>
  <c r="K998" i="1" s="1"/>
  <c r="I1001" i="1"/>
  <c r="J998" i="1"/>
  <c r="G1004" i="1"/>
  <c r="G1011" i="1"/>
  <c r="G1010" i="1" s="1"/>
  <c r="J1001" i="1"/>
  <c r="I1004" i="1"/>
  <c r="I1011" i="1"/>
  <c r="I1010" i="1" s="1"/>
  <c r="F998" i="1"/>
  <c r="G998" i="1"/>
  <c r="F1007" i="1"/>
  <c r="H998" i="1"/>
  <c r="H1001" i="1"/>
  <c r="G1001" i="1"/>
  <c r="H1010" i="1"/>
  <c r="H1009" i="1"/>
  <c r="H1007" i="1" s="1"/>
  <c r="F1001" i="1"/>
  <c r="F1010" i="1"/>
  <c r="K1008" i="1" l="1"/>
  <c r="K1007" i="1" s="1"/>
  <c r="K1010" i="1"/>
  <c r="J1008" i="1"/>
  <c r="J1007" i="1" s="1"/>
  <c r="J1010" i="1"/>
  <c r="G1008" i="1"/>
  <c r="G1007" i="1" s="1"/>
  <c r="I1008" i="1"/>
  <c r="I1007" i="1" s="1"/>
  <c r="K945" i="1"/>
  <c r="J945" i="1"/>
  <c r="I945" i="1"/>
  <c r="H967" i="1"/>
  <c r="G945" i="1"/>
  <c r="F945" i="1"/>
  <c r="K943" i="1"/>
  <c r="J943" i="1"/>
  <c r="I943" i="1"/>
  <c r="H943" i="1"/>
  <c r="G943" i="1"/>
  <c r="F943" i="1"/>
  <c r="K929" i="1"/>
  <c r="J929" i="1"/>
  <c r="I929" i="1"/>
  <c r="H929" i="1"/>
  <c r="G929" i="1"/>
  <c r="F929" i="1"/>
  <c r="H925" i="1"/>
  <c r="G925" i="1"/>
  <c r="F925" i="1"/>
  <c r="G913" i="1"/>
  <c r="H913" i="1"/>
  <c r="I913" i="1"/>
  <c r="J913" i="1"/>
  <c r="K913" i="1"/>
  <c r="F913" i="1"/>
  <c r="G911" i="1"/>
  <c r="G966" i="1" s="1"/>
  <c r="H911" i="1"/>
  <c r="I911" i="1"/>
  <c r="I966" i="1" s="1"/>
  <c r="J911" i="1"/>
  <c r="J966" i="1" s="1"/>
  <c r="K911" i="1"/>
  <c r="K966" i="1" s="1"/>
  <c r="F911" i="1"/>
  <c r="F966" i="1" s="1"/>
  <c r="J954" i="1"/>
  <c r="H954" i="1"/>
  <c r="F954" i="1"/>
  <c r="K803" i="1"/>
  <c r="J803" i="1"/>
  <c r="I803" i="1"/>
  <c r="H803" i="1"/>
  <c r="G803" i="1"/>
  <c r="F803" i="1"/>
  <c r="F801" i="1"/>
  <c r="G801" i="1"/>
  <c r="H801" i="1"/>
  <c r="I801" i="1"/>
  <c r="J801" i="1"/>
  <c r="K801" i="1"/>
  <c r="C708" i="1"/>
  <c r="E710" i="1"/>
  <c r="C710" i="1"/>
  <c r="H966" i="1" l="1"/>
  <c r="K925" i="1"/>
  <c r="H945" i="1"/>
  <c r="F957" i="1"/>
  <c r="G954" i="1"/>
  <c r="F947" i="1"/>
  <c r="G947" i="1"/>
  <c r="I954" i="1"/>
  <c r="H947" i="1"/>
  <c r="I947" i="1"/>
  <c r="I953" i="1"/>
  <c r="K954" i="1"/>
  <c r="G958" i="1"/>
  <c r="J947" i="1"/>
  <c r="J953" i="1"/>
  <c r="H958" i="1"/>
  <c r="K947" i="1"/>
  <c r="F967" i="1"/>
  <c r="I958" i="1"/>
  <c r="F949" i="1"/>
  <c r="K967" i="1"/>
  <c r="G949" i="1"/>
  <c r="J967" i="1"/>
  <c r="K958" i="1"/>
  <c r="H949" i="1"/>
  <c r="I967" i="1"/>
  <c r="I949" i="1"/>
  <c r="J949" i="1"/>
  <c r="G967" i="1"/>
  <c r="K949" i="1"/>
  <c r="H953" i="1"/>
  <c r="G953" i="1"/>
  <c r="F958" i="1"/>
  <c r="J958" i="1"/>
  <c r="F953" i="1"/>
  <c r="K953" i="1"/>
  <c r="I925" i="1"/>
  <c r="J931" i="1"/>
  <c r="F935" i="1"/>
  <c r="F931" i="1"/>
  <c r="H935" i="1"/>
  <c r="G931" i="1"/>
  <c r="J935" i="1"/>
  <c r="J925" i="1"/>
  <c r="K935" i="1"/>
  <c r="G935" i="1"/>
  <c r="I931" i="1"/>
  <c r="I935" i="1"/>
  <c r="K931" i="1"/>
  <c r="H931" i="1"/>
  <c r="F898" i="1"/>
  <c r="K710" i="1"/>
  <c r="J710" i="1"/>
  <c r="I710" i="1"/>
  <c r="H710" i="1"/>
  <c r="G710" i="1"/>
  <c r="F710" i="1"/>
  <c r="G708" i="1"/>
  <c r="H708" i="1"/>
  <c r="I708" i="1"/>
  <c r="J708" i="1"/>
  <c r="K708" i="1"/>
  <c r="F708" i="1"/>
  <c r="H711" i="1" l="1"/>
  <c r="F711" i="1"/>
  <c r="I711" i="1"/>
  <c r="J711" i="1"/>
  <c r="K711" i="1"/>
  <c r="G711" i="1"/>
  <c r="K737" i="1"/>
  <c r="J737" i="1"/>
  <c r="I737" i="1"/>
  <c r="H737" i="1"/>
  <c r="G737" i="1"/>
  <c r="F737" i="1"/>
  <c r="K721" i="1"/>
  <c r="J721" i="1"/>
  <c r="I721" i="1"/>
  <c r="H721" i="1"/>
  <c r="G721" i="1"/>
  <c r="F721" i="1"/>
  <c r="C713" i="1"/>
  <c r="C715" i="1" s="1"/>
  <c r="C712" i="1"/>
  <c r="C714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7" i="1" s="1"/>
  <c r="C738" i="1" s="1"/>
  <c r="C739" i="1" s="1"/>
  <c r="C740" i="1" s="1"/>
  <c r="C741" i="1" s="1"/>
  <c r="C742" i="1" s="1"/>
  <c r="K713" i="1"/>
  <c r="J713" i="1"/>
  <c r="C697" i="1"/>
  <c r="C698" i="1" s="1"/>
  <c r="C699" i="1" s="1"/>
  <c r="C700" i="1" s="1"/>
  <c r="C701" i="1" s="1"/>
  <c r="C702" i="1" s="1"/>
  <c r="K682" i="1"/>
  <c r="J682" i="1"/>
  <c r="I682" i="1"/>
  <c r="H682" i="1"/>
  <c r="G682" i="1"/>
  <c r="F682" i="1"/>
  <c r="C678" i="1"/>
  <c r="C679" i="1" s="1"/>
  <c r="C681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61" i="1"/>
  <c r="C662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F713" i="1" l="1"/>
  <c r="G713" i="1"/>
  <c r="H713" i="1"/>
  <c r="I713" i="1"/>
  <c r="I730" i="1"/>
  <c r="C743" i="1"/>
  <c r="C744" i="1" s="1"/>
  <c r="C745" i="1" s="1"/>
  <c r="F731" i="1"/>
  <c r="J699" i="1"/>
  <c r="J730" i="1"/>
  <c r="H684" i="1"/>
  <c r="F730" i="1"/>
  <c r="K715" i="1"/>
  <c r="K712" i="1" s="1"/>
  <c r="J728" i="1"/>
  <c r="I715" i="1"/>
  <c r="G730" i="1"/>
  <c r="H715" i="1"/>
  <c r="K730" i="1"/>
  <c r="C734" i="1"/>
  <c r="C735" i="1" s="1"/>
  <c r="C736" i="1" s="1"/>
  <c r="G731" i="1"/>
  <c r="H730" i="1"/>
  <c r="H731" i="1"/>
  <c r="I731" i="1"/>
  <c r="J731" i="1"/>
  <c r="F715" i="1"/>
  <c r="K731" i="1"/>
  <c r="G715" i="1"/>
  <c r="F728" i="1"/>
  <c r="G728" i="1"/>
  <c r="H728" i="1"/>
  <c r="J715" i="1"/>
  <c r="J712" i="1" s="1"/>
  <c r="I728" i="1"/>
  <c r="K728" i="1"/>
  <c r="K699" i="1"/>
  <c r="H699" i="1"/>
  <c r="I698" i="1"/>
  <c r="G699" i="1"/>
  <c r="I684" i="1"/>
  <c r="J697" i="1"/>
  <c r="I699" i="1"/>
  <c r="G697" i="1"/>
  <c r="I697" i="1"/>
  <c r="H698" i="1"/>
  <c r="J678" i="1"/>
  <c r="F698" i="1"/>
  <c r="G698" i="1"/>
  <c r="J698" i="1"/>
  <c r="G693" i="1"/>
  <c r="F697" i="1"/>
  <c r="F699" i="1"/>
  <c r="K697" i="1"/>
  <c r="K698" i="1"/>
  <c r="G684" i="1"/>
  <c r="H697" i="1"/>
  <c r="C703" i="1"/>
  <c r="F678" i="1"/>
  <c r="J693" i="1"/>
  <c r="I693" i="1"/>
  <c r="K684" i="1"/>
  <c r="F693" i="1"/>
  <c r="H693" i="1"/>
  <c r="G678" i="1"/>
  <c r="K693" i="1"/>
  <c r="F684" i="1"/>
  <c r="K678" i="1"/>
  <c r="H678" i="1"/>
  <c r="I678" i="1"/>
  <c r="J684" i="1"/>
  <c r="C680" i="1"/>
  <c r="C663" i="1"/>
  <c r="C682" i="1"/>
  <c r="C683" i="1" s="1"/>
  <c r="F712" i="1" l="1"/>
  <c r="G712" i="1"/>
  <c r="H712" i="1"/>
  <c r="I712" i="1"/>
  <c r="H739" i="1"/>
  <c r="H733" i="1" s="1"/>
  <c r="H750" i="1" s="1"/>
  <c r="F739" i="1"/>
  <c r="F733" i="1" s="1"/>
  <c r="F732" i="1" s="1"/>
  <c r="I739" i="1"/>
  <c r="I733" i="1" s="1"/>
  <c r="I745" i="1" s="1"/>
  <c r="J739" i="1"/>
  <c r="J733" i="1" s="1"/>
  <c r="F729" i="1"/>
  <c r="C746" i="1"/>
  <c r="C747" i="1" s="1"/>
  <c r="C748" i="1" s="1"/>
  <c r="C749" i="1"/>
  <c r="C750" i="1" s="1"/>
  <c r="C751" i="1" s="1"/>
  <c r="F723" i="1"/>
  <c r="F720" i="1" s="1"/>
  <c r="F719" i="1" s="1"/>
  <c r="G739" i="1"/>
  <c r="G733" i="1" s="1"/>
  <c r="I729" i="1"/>
  <c r="J729" i="1"/>
  <c r="K739" i="1"/>
  <c r="K733" i="1" s="1"/>
  <c r="I723" i="1"/>
  <c r="I720" i="1" s="1"/>
  <c r="I719" i="1" s="1"/>
  <c r="H723" i="1"/>
  <c r="H720" i="1" s="1"/>
  <c r="H719" i="1" s="1"/>
  <c r="K729" i="1"/>
  <c r="G729" i="1"/>
  <c r="K723" i="1"/>
  <c r="K720" i="1" s="1"/>
  <c r="K719" i="1" s="1"/>
  <c r="J723" i="1"/>
  <c r="J720" i="1" s="1"/>
  <c r="J719" i="1" s="1"/>
  <c r="G723" i="1"/>
  <c r="G720" i="1" s="1"/>
  <c r="G719" i="1" s="1"/>
  <c r="H729" i="1"/>
  <c r="H677" i="1"/>
  <c r="E11" i="4" s="1"/>
  <c r="K677" i="1"/>
  <c r="H11" i="4" s="1"/>
  <c r="I677" i="1"/>
  <c r="F11" i="4" s="1"/>
  <c r="F677" i="1"/>
  <c r="C11" i="4" s="1"/>
  <c r="J677" i="1"/>
  <c r="G11" i="4" s="1"/>
  <c r="G677" i="1"/>
  <c r="D11" i="4" s="1"/>
  <c r="K734" i="1" l="1" a="1"/>
  <c r="K734" i="1" s="1"/>
  <c r="K736" i="1" a="1"/>
  <c r="K736" i="1" s="1"/>
  <c r="J734" i="1" a="1"/>
  <c r="J734" i="1" s="1"/>
  <c r="J743" i="1" s="1"/>
  <c r="J736" i="1" a="1"/>
  <c r="J736" i="1" s="1"/>
  <c r="J756" i="1" s="1"/>
  <c r="J732" i="1"/>
  <c r="H746" i="1"/>
  <c r="H756" i="1"/>
  <c r="H732" i="1"/>
  <c r="H753" i="1"/>
  <c r="H749" i="1"/>
  <c r="H760" i="1"/>
  <c r="H752" i="1"/>
  <c r="H743" i="1"/>
  <c r="H759" i="1"/>
  <c r="F753" i="1"/>
  <c r="I757" i="1"/>
  <c r="I744" i="1"/>
  <c r="I748" i="1"/>
  <c r="H747" i="1"/>
  <c r="I755" i="1"/>
  <c r="I752" i="1"/>
  <c r="I743" i="1"/>
  <c r="I753" i="1"/>
  <c r="I749" i="1"/>
  <c r="I759" i="1"/>
  <c r="I746" i="1"/>
  <c r="H757" i="1"/>
  <c r="I756" i="1"/>
  <c r="H744" i="1"/>
  <c r="I732" i="1"/>
  <c r="H754" i="1"/>
  <c r="H751" i="1"/>
  <c r="H748" i="1"/>
  <c r="F744" i="1"/>
  <c r="F754" i="1"/>
  <c r="F758" i="1"/>
  <c r="F751" i="1"/>
  <c r="F748" i="1"/>
  <c r="F752" i="1"/>
  <c r="F745" i="1"/>
  <c r="F755" i="1"/>
  <c r="F747" i="1"/>
  <c r="F757" i="1"/>
  <c r="F749" i="1"/>
  <c r="F759" i="1"/>
  <c r="F756" i="1"/>
  <c r="F750" i="1"/>
  <c r="F760" i="1"/>
  <c r="F746" i="1"/>
  <c r="F743" i="1"/>
  <c r="H758" i="1"/>
  <c r="I747" i="1"/>
  <c r="H745" i="1"/>
  <c r="H755" i="1"/>
  <c r="I754" i="1"/>
  <c r="I751" i="1"/>
  <c r="I750" i="1"/>
  <c r="I760" i="1"/>
  <c r="I758" i="1"/>
  <c r="K732" i="1"/>
  <c r="C752" i="1"/>
  <c r="C753" i="1" s="1"/>
  <c r="C754" i="1" s="1"/>
  <c r="C755" i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G732" i="1"/>
  <c r="G753" i="1"/>
  <c r="G743" i="1"/>
  <c r="G756" i="1"/>
  <c r="G746" i="1"/>
  <c r="G760" i="1"/>
  <c r="G750" i="1"/>
  <c r="G759" i="1"/>
  <c r="G749" i="1"/>
  <c r="G752" i="1"/>
  <c r="G755" i="1"/>
  <c r="G745" i="1"/>
  <c r="G757" i="1"/>
  <c r="G747" i="1"/>
  <c r="G758" i="1"/>
  <c r="G748" i="1"/>
  <c r="G751" i="1"/>
  <c r="G754" i="1"/>
  <c r="G744" i="1"/>
  <c r="E599" i="1"/>
  <c r="E600" i="1" s="1"/>
  <c r="E601" i="1" s="1"/>
  <c r="J757" i="1" l="1"/>
  <c r="J760" i="1"/>
  <c r="J745" i="1"/>
  <c r="J746" i="1"/>
  <c r="J759" i="1"/>
  <c r="J758" i="1"/>
  <c r="J755" i="1"/>
  <c r="J735" i="1"/>
  <c r="J747" i="1"/>
  <c r="J744" i="1"/>
  <c r="J748" i="1"/>
  <c r="C779" i="1"/>
  <c r="C780" i="1" s="1"/>
  <c r="C781" i="1" s="1"/>
  <c r="C778" i="1"/>
  <c r="K759" i="1"/>
  <c r="K756" i="1"/>
  <c r="K755" i="1"/>
  <c r="K758" i="1"/>
  <c r="K757" i="1"/>
  <c r="K760" i="1"/>
  <c r="K735" i="1"/>
  <c r="K746" i="1"/>
  <c r="K745" i="1"/>
  <c r="K748" i="1"/>
  <c r="K743" i="1"/>
  <c r="K744" i="1"/>
  <c r="K747" i="1"/>
  <c r="J656" i="1"/>
  <c r="J639" i="1"/>
  <c r="K656" i="1"/>
  <c r="F657" i="1"/>
  <c r="G657" i="1"/>
  <c r="F654" i="1"/>
  <c r="H657" i="1"/>
  <c r="G654" i="1"/>
  <c r="I657" i="1"/>
  <c r="H654" i="1"/>
  <c r="J657" i="1"/>
  <c r="I654" i="1"/>
  <c r="K657" i="1"/>
  <c r="J654" i="1"/>
  <c r="F649" i="1"/>
  <c r="F658" i="1"/>
  <c r="K654" i="1"/>
  <c r="G649" i="1"/>
  <c r="G658" i="1"/>
  <c r="F655" i="1"/>
  <c r="H649" i="1"/>
  <c r="H658" i="1"/>
  <c r="K639" i="1"/>
  <c r="G655" i="1"/>
  <c r="I649" i="1"/>
  <c r="I658" i="1"/>
  <c r="H655" i="1"/>
  <c r="J649" i="1"/>
  <c r="J658" i="1"/>
  <c r="I655" i="1"/>
  <c r="K649" i="1"/>
  <c r="K658" i="1"/>
  <c r="J655" i="1"/>
  <c r="F659" i="1"/>
  <c r="K655" i="1"/>
  <c r="G659" i="1"/>
  <c r="G589" i="1"/>
  <c r="F656" i="1"/>
  <c r="H659" i="1"/>
  <c r="G656" i="1"/>
  <c r="I659" i="1"/>
  <c r="H656" i="1"/>
  <c r="J659" i="1"/>
  <c r="I656" i="1"/>
  <c r="K659" i="1"/>
  <c r="F644" i="1"/>
  <c r="H644" i="1"/>
  <c r="G644" i="1"/>
  <c r="I644" i="1"/>
  <c r="K644" i="1"/>
  <c r="J644" i="1"/>
  <c r="F639" i="1"/>
  <c r="H629" i="1"/>
  <c r="G639" i="1"/>
  <c r="J629" i="1"/>
  <c r="I639" i="1"/>
  <c r="H639" i="1"/>
  <c r="H634" i="1"/>
  <c r="G634" i="1"/>
  <c r="K634" i="1"/>
  <c r="I634" i="1"/>
  <c r="F634" i="1"/>
  <c r="J634" i="1"/>
  <c r="G624" i="1"/>
  <c r="H624" i="1"/>
  <c r="I624" i="1"/>
  <c r="J624" i="1"/>
  <c r="F624" i="1"/>
  <c r="K624" i="1"/>
  <c r="F629" i="1"/>
  <c r="G629" i="1"/>
  <c r="I629" i="1"/>
  <c r="K629" i="1"/>
  <c r="F585" i="1"/>
  <c r="F584" i="1" s="1"/>
  <c r="G611" i="1"/>
  <c r="F599" i="1"/>
  <c r="G599" i="1"/>
  <c r="H589" i="1"/>
  <c r="F603" i="1"/>
  <c r="I589" i="1"/>
  <c r="F597" i="1"/>
  <c r="H597" i="1"/>
  <c r="G597" i="1"/>
  <c r="G596" i="1"/>
  <c r="I596" i="1"/>
  <c r="I606" i="1"/>
  <c r="J596" i="1"/>
  <c r="I611" i="1"/>
  <c r="H596" i="1"/>
  <c r="G585" i="1"/>
  <c r="G584" i="1" s="1"/>
  <c r="J589" i="1"/>
  <c r="K589" i="1"/>
  <c r="K596" i="1"/>
  <c r="G603" i="1"/>
  <c r="J597" i="1"/>
  <c r="K597" i="1"/>
  <c r="F606" i="1"/>
  <c r="I597" i="1"/>
  <c r="H603" i="1"/>
  <c r="I585" i="1"/>
  <c r="I584" i="1" s="1"/>
  <c r="J585" i="1"/>
  <c r="J584" i="1" s="1"/>
  <c r="K585" i="1"/>
  <c r="K584" i="1" s="1"/>
  <c r="F611" i="1"/>
  <c r="G592" i="1"/>
  <c r="F596" i="1"/>
  <c r="H585" i="1"/>
  <c r="H584" i="1" s="1"/>
  <c r="H592" i="1"/>
  <c r="H599" i="1"/>
  <c r="I592" i="1"/>
  <c r="I599" i="1"/>
  <c r="J599" i="1"/>
  <c r="K599" i="1"/>
  <c r="H611" i="1"/>
  <c r="K611" i="1"/>
  <c r="J611" i="1"/>
  <c r="I603" i="1"/>
  <c r="F610" i="1"/>
  <c r="J603" i="1"/>
  <c r="G610" i="1"/>
  <c r="K603" i="1"/>
  <c r="H610" i="1"/>
  <c r="I610" i="1"/>
  <c r="J610" i="1"/>
  <c r="K610" i="1"/>
  <c r="J592" i="1"/>
  <c r="K592" i="1"/>
  <c r="J606" i="1"/>
  <c r="K606" i="1"/>
  <c r="G606" i="1"/>
  <c r="H606" i="1"/>
  <c r="F592" i="1"/>
  <c r="F589" i="1"/>
  <c r="J632" i="1" l="1"/>
  <c r="J750" i="1"/>
  <c r="J749" i="1"/>
  <c r="J752" i="1"/>
  <c r="J753" i="1"/>
  <c r="J751" i="1"/>
  <c r="J754" i="1"/>
  <c r="K622" i="1"/>
  <c r="J622" i="1"/>
  <c r="C783" i="1"/>
  <c r="C784" i="1" s="1"/>
  <c r="C782" i="1"/>
  <c r="K632" i="1"/>
  <c r="K749" i="1"/>
  <c r="K752" i="1"/>
  <c r="K751" i="1"/>
  <c r="K753" i="1"/>
  <c r="K754" i="1"/>
  <c r="K750" i="1"/>
  <c r="G642" i="1"/>
  <c r="H632" i="1"/>
  <c r="F622" i="1"/>
  <c r="I622" i="1"/>
  <c r="F642" i="1"/>
  <c r="G622" i="1"/>
  <c r="F632" i="1"/>
  <c r="G588" i="1"/>
  <c r="I632" i="1"/>
  <c r="G632" i="1"/>
  <c r="H642" i="1"/>
  <c r="H622" i="1"/>
  <c r="J642" i="1"/>
  <c r="I642" i="1"/>
  <c r="K642" i="1"/>
  <c r="H588" i="1"/>
  <c r="I588" i="1"/>
  <c r="J602" i="1"/>
  <c r="F602" i="1"/>
  <c r="K602" i="1"/>
  <c r="I602" i="1"/>
  <c r="H602" i="1"/>
  <c r="G602" i="1"/>
  <c r="J588" i="1"/>
  <c r="K588" i="1"/>
  <c r="F588" i="1"/>
  <c r="H10" i="4" l="1"/>
  <c r="C10" i="4"/>
  <c r="G10" i="4"/>
  <c r="F10" i="4"/>
  <c r="E10" i="4"/>
  <c r="D10" i="4"/>
  <c r="C786" i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785" i="1"/>
  <c r="C880" i="1" l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15" i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K504" i="1"/>
  <c r="J504" i="1"/>
  <c r="I504" i="1"/>
  <c r="H504" i="1"/>
  <c r="G504" i="1"/>
  <c r="F504" i="1"/>
  <c r="C895" i="1" l="1"/>
  <c r="C896" i="1" s="1"/>
  <c r="C897" i="1" s="1"/>
  <c r="C894" i="1"/>
  <c r="C853" i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924" i="1"/>
  <c r="C925" i="1" s="1"/>
  <c r="C926" i="1" s="1"/>
  <c r="C927" i="1" s="1"/>
  <c r="C928" i="1" s="1"/>
  <c r="C929" i="1" s="1"/>
  <c r="C930" i="1" s="1"/>
  <c r="C931" i="1" s="1"/>
  <c r="C932" i="1" s="1"/>
  <c r="C934" i="1" l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33" i="1"/>
  <c r="C899" i="1"/>
  <c r="C900" i="1" s="1"/>
  <c r="C898" i="1"/>
  <c r="C953" i="1" l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02" i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01" i="1"/>
  <c r="C920" i="1" l="1"/>
  <c r="C921" i="1" s="1"/>
  <c r="C922" i="1" s="1"/>
  <c r="C970" i="1" s="1"/>
  <c r="C971" i="1" s="1"/>
  <c r="C918" i="1"/>
  <c r="C919" i="1" s="1"/>
  <c r="C923" i="1" l="1"/>
  <c r="C972" i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6" i="1" l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034" i="1"/>
  <c r="C1035" i="1" s="1"/>
  <c r="F959" i="1"/>
  <c r="G959" i="1"/>
  <c r="H959" i="1"/>
  <c r="I959" i="1"/>
  <c r="J959" i="1"/>
  <c r="K959" i="1"/>
  <c r="C1107" i="1" l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J919" i="1"/>
  <c r="J918" i="1" s="1"/>
  <c r="I919" i="1"/>
  <c r="I918" i="1" s="1"/>
  <c r="H919" i="1"/>
  <c r="H918" i="1" s="1"/>
  <c r="G919" i="1"/>
  <c r="G918" i="1" s="1"/>
  <c r="F919" i="1"/>
  <c r="F918" i="1" s="1"/>
  <c r="K919" i="1"/>
  <c r="K918" i="1" s="1"/>
  <c r="J812" i="1"/>
  <c r="I812" i="1"/>
  <c r="H812" i="1"/>
  <c r="G812" i="1"/>
  <c r="F812" i="1"/>
  <c r="K812" i="1"/>
  <c r="C1150" i="1" l="1"/>
  <c r="C1151" i="1" s="1"/>
  <c r="C1152" i="1" s="1"/>
  <c r="C1153" i="1" s="1"/>
  <c r="C1154" i="1" s="1"/>
  <c r="C1155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45" i="1"/>
  <c r="C1146" i="1" s="1"/>
  <c r="C1147" i="1" s="1"/>
  <c r="C1148" i="1" s="1"/>
  <c r="C1149" i="1" s="1"/>
  <c r="F969" i="1"/>
  <c r="J969" i="1"/>
  <c r="H969" i="1"/>
  <c r="K969" i="1"/>
  <c r="G969" i="1"/>
  <c r="I969" i="1"/>
  <c r="K957" i="1"/>
  <c r="F892" i="1"/>
  <c r="G957" i="1"/>
  <c r="H957" i="1"/>
  <c r="I957" i="1"/>
  <c r="J957" i="1"/>
  <c r="C1156" i="1" l="1"/>
  <c r="C1157" i="1" s="1"/>
  <c r="C1158" i="1" s="1"/>
  <c r="C1159" i="1" s="1"/>
  <c r="C1183" i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179" i="1"/>
  <c r="C1180" i="1" s="1"/>
  <c r="C1181" i="1" s="1"/>
  <c r="C1182" i="1" s="1"/>
  <c r="J892" i="1"/>
  <c r="J898" i="1"/>
  <c r="I892" i="1"/>
  <c r="I898" i="1"/>
  <c r="H892" i="1"/>
  <c r="H898" i="1"/>
  <c r="G892" i="1"/>
  <c r="G898" i="1"/>
  <c r="K892" i="1"/>
  <c r="K898" i="1"/>
  <c r="C1206" i="1" l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202" i="1"/>
  <c r="C1203" i="1" s="1"/>
  <c r="C1204" i="1" s="1"/>
  <c r="C1205" i="1" s="1"/>
  <c r="C1488" i="1" l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484" i="1"/>
  <c r="C1485" i="1" s="1"/>
  <c r="C1486" i="1" s="1"/>
  <c r="C1487" i="1" s="1"/>
  <c r="F612" i="1"/>
  <c r="F653" i="1"/>
  <c r="G612" i="1"/>
  <c r="G653" i="1"/>
  <c r="H653" i="1"/>
  <c r="H612" i="1"/>
  <c r="I653" i="1"/>
  <c r="I612" i="1"/>
  <c r="J653" i="1"/>
  <c r="J612" i="1"/>
  <c r="K612" i="1"/>
  <c r="K653" i="1"/>
  <c r="C1506" i="1" l="1"/>
  <c r="C1511" i="1"/>
  <c r="C1512" i="1" l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658" i="1" s="1"/>
  <c r="C1659" i="1" s="1"/>
  <c r="C1660" i="1" s="1"/>
  <c r="C1661" i="1" s="1"/>
  <c r="C1662" i="1" s="1"/>
  <c r="C1663" i="1" s="1"/>
  <c r="C1664" i="1" s="1"/>
  <c r="C1665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507" i="1"/>
  <c r="C1508" i="1" s="1"/>
  <c r="C1509" i="1" s="1"/>
  <c r="C1510" i="1" s="1"/>
  <c r="C1753" i="1" l="1"/>
  <c r="C1754" i="1" s="1"/>
  <c r="C1755" i="1" s="1"/>
  <c r="C1756" i="1" s="1"/>
  <c r="C1757" i="1" s="1"/>
  <c r="C1758" i="1" s="1"/>
  <c r="C1759" i="1" s="1"/>
  <c r="C1760" i="1" s="1"/>
  <c r="C1761" i="1"/>
  <c r="C1762" i="1" s="1"/>
  <c r="C1763" i="1" s="1"/>
  <c r="C1764" i="1" s="1"/>
  <c r="C1765" i="1" s="1"/>
  <c r="K581" i="1"/>
  <c r="J581" i="1"/>
  <c r="I581" i="1"/>
  <c r="H581" i="1"/>
  <c r="G581" i="1"/>
  <c r="F581" i="1"/>
  <c r="C1766" i="1" l="1"/>
  <c r="C1767" i="1" s="1"/>
  <c r="C1768" i="1" s="1"/>
  <c r="C1769" i="1" s="1"/>
  <c r="C1770" i="1" s="1"/>
  <c r="C1771" i="1" s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G441" i="1"/>
  <c r="F441" i="1"/>
  <c r="H441" i="1"/>
  <c r="I441" i="1"/>
  <c r="J441" i="1"/>
  <c r="K441" i="1"/>
  <c r="C1782" i="1" l="1"/>
  <c r="C1783" i="1" s="1"/>
  <c r="C1784" i="1" s="1"/>
  <c r="C1785" i="1" s="1"/>
  <c r="C1786" i="1" s="1"/>
  <c r="C1787" i="1" s="1"/>
  <c r="F890" i="1"/>
  <c r="G890" i="1"/>
  <c r="H890" i="1"/>
  <c r="I890" i="1"/>
  <c r="J890" i="1"/>
  <c r="K890" i="1"/>
  <c r="C1788" i="1" l="1"/>
  <c r="C1789" i="1" s="1"/>
  <c r="C1790" i="1" s="1"/>
  <c r="C1791" i="1" s="1"/>
  <c r="C1792" i="1" s="1"/>
  <c r="C1793" i="1" s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6" i="1" s="1"/>
  <c r="C1807" i="1" s="1"/>
  <c r="C1804" i="1" s="1"/>
  <c r="G889" i="1"/>
  <c r="G886" i="1" s="1"/>
  <c r="G887" i="1"/>
  <c r="H889" i="1"/>
  <c r="H886" i="1" s="1"/>
  <c r="H887" i="1"/>
  <c r="I887" i="1"/>
  <c r="I889" i="1"/>
  <c r="I886" i="1" s="1"/>
  <c r="K887" i="1"/>
  <c r="K889" i="1"/>
  <c r="K886" i="1" s="1"/>
  <c r="F889" i="1"/>
  <c r="F886" i="1" s="1"/>
  <c r="F887" i="1"/>
  <c r="J887" i="1"/>
  <c r="J889" i="1"/>
  <c r="J886" i="1" s="1"/>
  <c r="C1808" i="1" l="1"/>
  <c r="C1805" i="1"/>
  <c r="I885" i="1"/>
  <c r="I956" i="1"/>
  <c r="F885" i="1"/>
  <c r="F956" i="1"/>
  <c r="J885" i="1"/>
  <c r="J956" i="1"/>
  <c r="K885" i="1"/>
  <c r="K956" i="1"/>
  <c r="H885" i="1"/>
  <c r="H956" i="1"/>
  <c r="G885" i="1"/>
  <c r="G956" i="1"/>
  <c r="K509" i="1"/>
  <c r="J509" i="1"/>
  <c r="I509" i="1"/>
  <c r="H509" i="1"/>
  <c r="G509" i="1"/>
  <c r="F509" i="1"/>
  <c r="C1809" i="1" l="1"/>
  <c r="C1810" i="1" s="1"/>
  <c r="C1811" i="1" s="1"/>
  <c r="C1812" i="1" s="1"/>
  <c r="C1813" i="1" s="1"/>
  <c r="C1814" i="1" s="1"/>
  <c r="C1815" i="1" s="1"/>
  <c r="C1816" i="1" s="1"/>
  <c r="C1817" i="1" s="1"/>
  <c r="C1880" i="1"/>
  <c r="C1881" i="1" s="1"/>
  <c r="C1882" i="1" s="1"/>
  <c r="C1883" i="1" s="1"/>
  <c r="C1884" i="1" s="1"/>
  <c r="C1885" i="1" s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C1903" i="1" s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1954" i="1" s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022" i="1" s="1"/>
  <c r="C2023" i="1" s="1"/>
  <c r="C2024" i="1" s="1"/>
  <c r="C2025" i="1" s="1"/>
  <c r="C2026" i="1" s="1"/>
  <c r="C2027" i="1" s="1"/>
  <c r="C1818" i="1"/>
  <c r="C1820" i="1" s="1"/>
  <c r="C1821" i="1" s="1"/>
  <c r="C1822" i="1" s="1"/>
  <c r="C1823" i="1" s="1"/>
  <c r="C1824" i="1" s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19" i="1"/>
  <c r="K921" i="1"/>
  <c r="J921" i="1"/>
  <c r="I921" i="1"/>
  <c r="H921" i="1"/>
  <c r="G921" i="1"/>
  <c r="F921" i="1"/>
  <c r="K815" i="1"/>
  <c r="J815" i="1"/>
  <c r="I815" i="1"/>
  <c r="H815" i="1"/>
  <c r="G815" i="1"/>
  <c r="F815" i="1"/>
  <c r="K810" i="1"/>
  <c r="J810" i="1"/>
  <c r="I810" i="1"/>
  <c r="H810" i="1"/>
  <c r="G810" i="1"/>
  <c r="F810" i="1"/>
  <c r="K788" i="1"/>
  <c r="J788" i="1"/>
  <c r="I788" i="1"/>
  <c r="H788" i="1"/>
  <c r="G788" i="1"/>
  <c r="F788" i="1"/>
  <c r="K915" i="1" l="1"/>
  <c r="K880" i="1" s="1"/>
  <c r="H5" i="4" s="1"/>
  <c r="K968" i="1"/>
  <c r="J915" i="1"/>
  <c r="J880" i="1" s="1"/>
  <c r="G5" i="4" s="1"/>
  <c r="J968" i="1"/>
  <c r="G915" i="1"/>
  <c r="G968" i="1"/>
  <c r="F915" i="1"/>
  <c r="F968" i="1"/>
  <c r="H915" i="1"/>
  <c r="H880" i="1" s="1"/>
  <c r="E5" i="4" s="1"/>
  <c r="H968" i="1"/>
  <c r="I915" i="1"/>
  <c r="I880" i="1" s="1"/>
  <c r="F5" i="4" s="1"/>
  <c r="I968" i="1"/>
  <c r="F806" i="1"/>
  <c r="F808" i="1" s="1"/>
  <c r="G806" i="1"/>
  <c r="G808" i="1" s="1"/>
  <c r="I806" i="1"/>
  <c r="I808" i="1" s="1"/>
  <c r="K806" i="1"/>
  <c r="K808" i="1" s="1"/>
  <c r="H806" i="1"/>
  <c r="H808" i="1" s="1"/>
  <c r="J806" i="1"/>
  <c r="J808" i="1" s="1"/>
  <c r="G880" i="1" l="1"/>
  <c r="D5" i="4" s="1"/>
  <c r="F880" i="1"/>
  <c r="C5" i="4" s="1"/>
  <c r="I842" i="1" l="1"/>
  <c r="I875" i="1"/>
  <c r="G842" i="1"/>
  <c r="G875" i="1"/>
  <c r="F844" i="1"/>
  <c r="F876" i="1"/>
  <c r="H842" i="1"/>
  <c r="H875" i="1"/>
  <c r="K842" i="1"/>
  <c r="K875" i="1"/>
  <c r="G844" i="1"/>
  <c r="G876" i="1"/>
  <c r="I844" i="1"/>
  <c r="I876" i="1"/>
  <c r="J844" i="1"/>
  <c r="J876" i="1"/>
  <c r="F846" i="1"/>
  <c r="F877" i="1"/>
  <c r="J846" i="1"/>
  <c r="J877" i="1"/>
  <c r="F842" i="1"/>
  <c r="F875" i="1"/>
  <c r="J842" i="1"/>
  <c r="J875" i="1"/>
  <c r="H844" i="1"/>
  <c r="H876" i="1"/>
  <c r="K844" i="1"/>
  <c r="K876" i="1"/>
  <c r="G846" i="1"/>
  <c r="G877" i="1"/>
  <c r="H846" i="1"/>
  <c r="H877" i="1"/>
  <c r="I846" i="1"/>
  <c r="I877" i="1"/>
  <c r="K846" i="1"/>
  <c r="K877" i="1"/>
  <c r="F828" i="1"/>
  <c r="F864" i="1"/>
  <c r="G828" i="1"/>
  <c r="G864" i="1"/>
  <c r="H828" i="1"/>
  <c r="H864" i="1"/>
  <c r="J828" i="1"/>
  <c r="J864" i="1"/>
  <c r="K828" i="1"/>
  <c r="K864" i="1"/>
  <c r="I828" i="1"/>
  <c r="I864" i="1"/>
  <c r="F706" i="1" l="1"/>
  <c r="I701" i="1"/>
  <c r="J701" i="1"/>
  <c r="K701" i="1"/>
  <c r="G703" i="1"/>
  <c r="H703" i="1"/>
  <c r="I703" i="1"/>
  <c r="J703" i="1"/>
  <c r="K703" i="1"/>
  <c r="F701" i="1"/>
  <c r="F703" i="1"/>
  <c r="J706" i="1" l="1"/>
  <c r="I706" i="1"/>
  <c r="G706" i="1"/>
  <c r="K706" i="1"/>
  <c r="H706" i="1"/>
  <c r="H670" i="1"/>
  <c r="H701" i="1"/>
  <c r="G670" i="1"/>
  <c r="G701" i="1"/>
  <c r="H700" i="1"/>
  <c r="F700" i="1"/>
  <c r="K700" i="1"/>
  <c r="J700" i="1"/>
  <c r="F692" i="1"/>
  <c r="F689" i="1" s="1"/>
  <c r="I700" i="1"/>
  <c r="G692" i="1" l="1"/>
  <c r="G689" i="1" s="1"/>
  <c r="H692" i="1"/>
  <c r="H689" i="1" s="1"/>
  <c r="J674" i="1"/>
  <c r="J660" i="1" s="1"/>
  <c r="J702" i="1"/>
  <c r="I674" i="1"/>
  <c r="I660" i="1" s="1"/>
  <c r="I702" i="1"/>
  <c r="K674" i="1"/>
  <c r="K660" i="1" s="1"/>
  <c r="K702" i="1"/>
  <c r="F674" i="1"/>
  <c r="F660" i="1" s="1"/>
  <c r="F702" i="1"/>
  <c r="H674" i="1"/>
  <c r="H660" i="1" s="1"/>
  <c r="H702" i="1"/>
  <c r="G674" i="1"/>
  <c r="G660" i="1" s="1"/>
  <c r="G702" i="1"/>
  <c r="G691" i="1"/>
  <c r="G688" i="1" s="1"/>
  <c r="G700" i="1"/>
  <c r="F670" i="1"/>
  <c r="J670" i="1"/>
  <c r="J692" i="1"/>
  <c r="J689" i="1" s="1"/>
  <c r="I670" i="1"/>
  <c r="I692" i="1"/>
  <c r="I689" i="1" s="1"/>
  <c r="K670" i="1"/>
  <c r="K692" i="1"/>
  <c r="K689" i="1" s="1"/>
  <c r="J669" i="1"/>
  <c r="G690" i="1" l="1"/>
  <c r="G687" i="1" s="1"/>
  <c r="G671" i="1"/>
  <c r="G668" i="1" s="1"/>
  <c r="G669" i="1"/>
  <c r="J671" i="1"/>
  <c r="J668" i="1" s="1"/>
  <c r="J691" i="1"/>
  <c r="K671" i="1"/>
  <c r="K668" i="1" s="1"/>
  <c r="K691" i="1"/>
  <c r="F671" i="1"/>
  <c r="F668" i="1" s="1"/>
  <c r="F691" i="1"/>
  <c r="H671" i="1"/>
  <c r="H668" i="1" s="1"/>
  <c r="H691" i="1"/>
  <c r="I669" i="1"/>
  <c r="I691" i="1"/>
  <c r="I671" i="1"/>
  <c r="I668" i="1" s="1"/>
  <c r="F669" i="1"/>
  <c r="H669" i="1"/>
  <c r="K669" i="1"/>
  <c r="I690" i="1" l="1"/>
  <c r="I687" i="1" s="1"/>
  <c r="I688" i="1"/>
  <c r="H690" i="1"/>
  <c r="H687" i="1" s="1"/>
  <c r="H688" i="1"/>
  <c r="J690" i="1"/>
  <c r="J687" i="1" s="1"/>
  <c r="J688" i="1"/>
  <c r="F690" i="1"/>
  <c r="F687" i="1" s="1"/>
  <c r="F688" i="1"/>
  <c r="K690" i="1"/>
  <c r="K687" i="1" s="1"/>
  <c r="K688" i="1"/>
  <c r="K775" i="1" l="1"/>
  <c r="J775" i="1"/>
  <c r="I775" i="1"/>
  <c r="H775" i="1"/>
  <c r="G775" i="1" l="1"/>
  <c r="F775" i="1"/>
  <c r="K857" i="1" l="1"/>
  <c r="J857" i="1"/>
  <c r="I857" i="1"/>
  <c r="H857" i="1"/>
  <c r="G857" i="1"/>
  <c r="F857" i="1"/>
  <c r="G848" i="1" l="1"/>
  <c r="G878" i="1"/>
  <c r="F848" i="1"/>
  <c r="F878" i="1"/>
  <c r="I848" i="1"/>
  <c r="I878" i="1"/>
  <c r="K848" i="1"/>
  <c r="K878" i="1"/>
  <c r="H848" i="1"/>
  <c r="H878" i="1"/>
  <c r="J848" i="1"/>
  <c r="J878" i="1"/>
  <c r="J862" i="1"/>
  <c r="K862" i="1"/>
  <c r="H862" i="1"/>
  <c r="G862" i="1"/>
  <c r="F862" i="1"/>
  <c r="I862" i="1"/>
  <c r="K73" i="1" l="1"/>
  <c r="J73" i="1"/>
  <c r="I73" i="1"/>
  <c r="H73" i="1"/>
  <c r="G73" i="1"/>
  <c r="K955" i="1" l="1"/>
  <c r="J955" i="1"/>
  <c r="I955" i="1"/>
  <c r="H955" i="1"/>
  <c r="G955" i="1"/>
  <c r="F955" i="1"/>
  <c r="F874" i="1"/>
  <c r="H830" i="1"/>
  <c r="K763" i="1"/>
  <c r="K856" i="1" s="1"/>
  <c r="J763" i="1"/>
  <c r="J856" i="1" s="1"/>
  <c r="I763" i="1"/>
  <c r="I856" i="1" s="1"/>
  <c r="H763" i="1"/>
  <c r="H856" i="1" s="1"/>
  <c r="G763" i="1"/>
  <c r="G856" i="1" s="1"/>
  <c r="F763" i="1"/>
  <c r="F856" i="1" s="1"/>
  <c r="G830" i="1" l="1"/>
  <c r="F830" i="1"/>
  <c r="F850" i="1"/>
  <c r="F879" i="1"/>
  <c r="H850" i="1"/>
  <c r="H879" i="1"/>
  <c r="J850" i="1"/>
  <c r="J879" i="1"/>
  <c r="I830" i="1"/>
  <c r="K850" i="1"/>
  <c r="K879" i="1"/>
  <c r="G850" i="1"/>
  <c r="G879" i="1"/>
  <c r="I850" i="1"/>
  <c r="I879" i="1"/>
  <c r="K852" i="1"/>
  <c r="G821" i="1"/>
  <c r="I821" i="1"/>
  <c r="J821" i="1"/>
  <c r="F824" i="1"/>
  <c r="H821" i="1"/>
  <c r="K821" i="1"/>
  <c r="G824" i="1"/>
  <c r="H824" i="1"/>
  <c r="I824" i="1"/>
  <c r="J824" i="1"/>
  <c r="K824" i="1"/>
  <c r="J830" i="1"/>
  <c r="F852" i="1"/>
  <c r="K830" i="1"/>
  <c r="G852" i="1"/>
  <c r="H852" i="1"/>
  <c r="I852" i="1"/>
  <c r="F821" i="1"/>
  <c r="J852" i="1"/>
  <c r="F73" i="1"/>
  <c r="J858" i="1" l="1"/>
  <c r="J817" i="1"/>
  <c r="I858" i="1"/>
  <c r="I817" i="1"/>
  <c r="H858" i="1"/>
  <c r="H817" i="1"/>
  <c r="F858" i="1"/>
  <c r="F817" i="1"/>
  <c r="G858" i="1"/>
  <c r="G817" i="1"/>
  <c r="K858" i="1"/>
  <c r="K817" i="1"/>
  <c r="G773" i="1" l="1"/>
  <c r="G768" i="1" s="1"/>
  <c r="G860" i="1" s="1"/>
  <c r="G769" i="1" l="1"/>
  <c r="G766" i="1" s="1"/>
  <c r="G771" i="1"/>
  <c r="G767" i="1" s="1"/>
  <c r="G859" i="1" s="1"/>
  <c r="G782" i="1" l="1"/>
  <c r="G761" i="1"/>
  <c r="D4" i="4" s="1"/>
  <c r="D3" i="4" s="1"/>
  <c r="G783" i="1"/>
  <c r="G861" i="1"/>
  <c r="G779" i="1"/>
  <c r="G863" i="1" s="1"/>
  <c r="F861" i="1" l="1"/>
  <c r="I861" i="1"/>
  <c r="K861" i="1"/>
  <c r="F782" i="1"/>
  <c r="K773" i="1"/>
  <c r="K768" i="1" s="1"/>
  <c r="K860" i="1" s="1"/>
  <c r="J773" i="1"/>
  <c r="J768" i="1" s="1"/>
  <c r="J860" i="1" s="1"/>
  <c r="I773" i="1"/>
  <c r="I768" i="1" s="1"/>
  <c r="I860" i="1" s="1"/>
  <c r="H773" i="1"/>
  <c r="H768" i="1" s="1"/>
  <c r="H860" i="1" s="1"/>
  <c r="F773" i="1"/>
  <c r="F768" i="1" s="1"/>
  <c r="F860" i="1" s="1"/>
  <c r="I782" i="1" l="1"/>
  <c r="K782" i="1"/>
  <c r="H782" i="1"/>
  <c r="J782" i="1"/>
  <c r="J861" i="1"/>
  <c r="H783" i="1"/>
  <c r="H861" i="1"/>
  <c r="J779" i="1"/>
  <c r="J863" i="1" s="1"/>
  <c r="K779" i="1"/>
  <c r="K863" i="1" s="1"/>
  <c r="I783" i="1"/>
  <c r="I779" i="1"/>
  <c r="I863" i="1" s="1"/>
  <c r="F779" i="1"/>
  <c r="F863" i="1" s="1"/>
  <c r="J783" i="1"/>
  <c r="H779" i="1"/>
  <c r="H863" i="1" s="1"/>
  <c r="K783" i="1"/>
  <c r="H771" i="1"/>
  <c r="H767" i="1" s="1"/>
  <c r="H859" i="1" s="1"/>
  <c r="H769" i="1"/>
  <c r="H766" i="1" s="1"/>
  <c r="H761" i="1" s="1"/>
  <c r="E4" i="4" s="1"/>
  <c r="E3" i="4" s="1"/>
  <c r="I769" i="1"/>
  <c r="I766" i="1" s="1"/>
  <c r="I771" i="1"/>
  <c r="I767" i="1" s="1"/>
  <c r="I859" i="1" s="1"/>
  <c r="J771" i="1"/>
  <c r="J767" i="1" s="1"/>
  <c r="J859" i="1" s="1"/>
  <c r="J769" i="1"/>
  <c r="J766" i="1" s="1"/>
  <c r="F769" i="1"/>
  <c r="F766" i="1" s="1"/>
  <c r="F771" i="1"/>
  <c r="F767" i="1" s="1"/>
  <c r="F859" i="1" s="1"/>
  <c r="K771" i="1"/>
  <c r="K767" i="1" s="1"/>
  <c r="K859" i="1" s="1"/>
  <c r="K769" i="1"/>
  <c r="K766" i="1" s="1"/>
  <c r="F783" i="1"/>
  <c r="K761" i="1" l="1"/>
  <c r="H4" i="4" s="1"/>
  <c r="H3" i="4" s="1"/>
  <c r="F761" i="1"/>
  <c r="C4" i="4" s="1"/>
  <c r="C3" i="4" s="1"/>
  <c r="J761" i="1"/>
  <c r="G4" i="4" s="1"/>
  <c r="G3" i="4" s="1"/>
  <c r="I761" i="1"/>
  <c r="F4" i="4" s="1"/>
  <c r="F3" i="4" s="1"/>
  <c r="E517" i="1" l="1"/>
  <c r="E516" i="1"/>
  <c r="E512" i="1"/>
  <c r="E511" i="1"/>
  <c r="E510" i="1"/>
  <c r="E509" i="1"/>
  <c r="E508" i="1"/>
  <c r="E507" i="1"/>
  <c r="E496" i="1"/>
  <c r="E495" i="1"/>
  <c r="E494" i="1"/>
  <c r="E486" i="1"/>
  <c r="E485" i="1"/>
  <c r="E484" i="1"/>
  <c r="E483" i="1"/>
  <c r="E475" i="1"/>
  <c r="E474" i="1"/>
  <c r="E473" i="1"/>
  <c r="E489" i="1" s="1"/>
  <c r="E472" i="1"/>
  <c r="C407" i="1"/>
  <c r="F387" i="1" l="1"/>
  <c r="G387" i="1"/>
  <c r="I387" i="1"/>
  <c r="H387" i="1"/>
  <c r="J387" i="1"/>
  <c r="K387" i="1"/>
  <c r="K459" i="1"/>
  <c r="J459" i="1"/>
  <c r="I459" i="1"/>
  <c r="H459" i="1"/>
  <c r="G459" i="1"/>
  <c r="F459" i="1"/>
  <c r="K457" i="1" l="1"/>
  <c r="J457" i="1"/>
  <c r="I457" i="1"/>
  <c r="H457" i="1"/>
  <c r="G457" i="1"/>
  <c r="F457" i="1"/>
  <c r="K455" i="1" l="1"/>
  <c r="J455" i="1"/>
  <c r="I455" i="1"/>
  <c r="H455" i="1"/>
  <c r="G455" i="1"/>
  <c r="F455" i="1"/>
  <c r="K453" i="1"/>
  <c r="J453" i="1"/>
  <c r="I453" i="1"/>
  <c r="H453" i="1"/>
  <c r="G453" i="1"/>
  <c r="F453" i="1"/>
  <c r="K445" i="1"/>
  <c r="J445" i="1"/>
  <c r="I445" i="1"/>
  <c r="H445" i="1"/>
  <c r="G445" i="1"/>
  <c r="F445" i="1"/>
  <c r="F443" i="1" l="1"/>
  <c r="F440" i="1" s="1"/>
  <c r="F439" i="1" s="1"/>
  <c r="G443" i="1"/>
  <c r="G440" i="1" s="1"/>
  <c r="G439" i="1" s="1"/>
  <c r="H443" i="1"/>
  <c r="H440" i="1" s="1"/>
  <c r="H439" i="1" s="1"/>
  <c r="I443" i="1"/>
  <c r="I440" i="1" s="1"/>
  <c r="I439" i="1" s="1"/>
  <c r="J443" i="1"/>
  <c r="J440" i="1" s="1"/>
  <c r="J439" i="1" s="1"/>
  <c r="K443" i="1"/>
  <c r="K440" i="1" s="1"/>
  <c r="K439" i="1" s="1"/>
  <c r="F450" i="1"/>
  <c r="F449" i="1" s="1"/>
  <c r="F447" i="1"/>
  <c r="G450" i="1"/>
  <c r="G449" i="1" s="1"/>
  <c r="G447" i="1"/>
  <c r="H450" i="1"/>
  <c r="H449" i="1" s="1"/>
  <c r="H447" i="1"/>
  <c r="I450" i="1"/>
  <c r="I449" i="1" s="1"/>
  <c r="I447" i="1"/>
  <c r="J447" i="1"/>
  <c r="J450" i="1"/>
  <c r="J449" i="1" s="1"/>
  <c r="K447" i="1"/>
  <c r="K450" i="1"/>
  <c r="K449" i="1" s="1"/>
  <c r="I438" i="1" l="1"/>
  <c r="G438" i="1"/>
  <c r="H438" i="1"/>
  <c r="F438" i="1"/>
  <c r="K438" i="1"/>
  <c r="J438" i="1"/>
  <c r="K385" i="1" l="1"/>
  <c r="I385" i="1" l="1"/>
  <c r="J385" i="1"/>
  <c r="F385" i="1"/>
  <c r="G385" i="1"/>
  <c r="H385" i="1"/>
  <c r="G399" i="1" l="1"/>
  <c r="H399" i="1"/>
  <c r="I399" i="1"/>
  <c r="J399" i="1"/>
  <c r="K399" i="1"/>
  <c r="F399" i="1" l="1"/>
  <c r="G524" i="1" l="1"/>
  <c r="H524" i="1"/>
  <c r="I524" i="1"/>
  <c r="J524" i="1"/>
  <c r="K524" i="1"/>
  <c r="F524" i="1"/>
  <c r="K290" i="1"/>
  <c r="J290" i="1"/>
  <c r="I290" i="1"/>
  <c r="H290" i="1"/>
  <c r="G290" i="1"/>
  <c r="F290" i="1"/>
  <c r="K909" i="1"/>
  <c r="J909" i="1"/>
  <c r="I909" i="1"/>
  <c r="H909" i="1"/>
  <c r="G909" i="1"/>
  <c r="F909" i="1"/>
  <c r="E286" i="1"/>
  <c r="K908" i="1"/>
  <c r="J908" i="1"/>
  <c r="I908" i="1"/>
  <c r="H908" i="1"/>
  <c r="G908" i="1"/>
  <c r="K1044" i="1"/>
  <c r="J1044" i="1"/>
  <c r="I1044" i="1"/>
  <c r="F908" i="1"/>
  <c r="E280" i="1"/>
  <c r="E277" i="1"/>
  <c r="K274" i="1"/>
  <c r="J274" i="1"/>
  <c r="I274" i="1"/>
  <c r="H274" i="1"/>
  <c r="G274" i="1"/>
  <c r="F274" i="1"/>
  <c r="G907" i="1"/>
  <c r="H907" i="1"/>
  <c r="I907" i="1"/>
  <c r="J907" i="1"/>
  <c r="K907" i="1"/>
  <c r="F907" i="1"/>
  <c r="G906" i="1"/>
  <c r="H906" i="1"/>
  <c r="I906" i="1"/>
  <c r="J906" i="1"/>
  <c r="K906" i="1"/>
  <c r="F906" i="1"/>
  <c r="G1042" i="1"/>
  <c r="I1043" i="1"/>
  <c r="J1043" i="1"/>
  <c r="F1043" i="1"/>
  <c r="E256" i="1"/>
  <c r="E255" i="1"/>
  <c r="E254" i="1"/>
  <c r="E253" i="1"/>
  <c r="E107" i="1"/>
  <c r="E108" i="1"/>
  <c r="E109" i="1"/>
  <c r="E110" i="1"/>
  <c r="E111" i="1"/>
  <c r="K76" i="1"/>
  <c r="J76" i="1"/>
  <c r="I76" i="1"/>
  <c r="H76" i="1"/>
  <c r="G76" i="1"/>
  <c r="F76" i="1"/>
  <c r="G182" i="1"/>
  <c r="H182" i="1"/>
  <c r="I182" i="1"/>
  <c r="J182" i="1"/>
  <c r="K182" i="1"/>
  <c r="K799" i="1"/>
  <c r="J799" i="1"/>
  <c r="I799" i="1"/>
  <c r="H799" i="1"/>
  <c r="G799" i="1"/>
  <c r="F799" i="1"/>
  <c r="G292" i="1" l="1"/>
  <c r="H292" i="1"/>
  <c r="H1043" i="1"/>
  <c r="F292" i="1"/>
  <c r="G1043" i="1"/>
  <c r="K292" i="1"/>
  <c r="K1042" i="1"/>
  <c r="G905" i="1"/>
  <c r="J1042" i="1"/>
  <c r="J1041" i="1" s="1"/>
  <c r="I1042" i="1"/>
  <c r="I1041" i="1" s="1"/>
  <c r="H1042" i="1"/>
  <c r="F1044" i="1"/>
  <c r="F1042" i="1"/>
  <c r="G1044" i="1"/>
  <c r="K1043" i="1"/>
  <c r="H1044" i="1"/>
  <c r="F905" i="1"/>
  <c r="K905" i="1"/>
  <c r="J905" i="1"/>
  <c r="I905" i="1"/>
  <c r="H905" i="1"/>
  <c r="F910" i="1"/>
  <c r="F965" i="1" s="1"/>
  <c r="K910" i="1"/>
  <c r="K965" i="1" s="1"/>
  <c r="I910" i="1"/>
  <c r="I965" i="1" s="1"/>
  <c r="H910" i="1"/>
  <c r="H965" i="1" s="1"/>
  <c r="J910" i="1"/>
  <c r="J965" i="1" s="1"/>
  <c r="G910" i="1"/>
  <c r="G965" i="1" s="1"/>
  <c r="F279" i="1"/>
  <c r="F796" i="1"/>
  <c r="J279" i="1"/>
  <c r="J796" i="1"/>
  <c r="K279" i="1"/>
  <c r="K796" i="1"/>
  <c r="I279" i="1"/>
  <c r="I796" i="1"/>
  <c r="G279" i="1"/>
  <c r="G796" i="1"/>
  <c r="F797" i="1"/>
  <c r="F798" i="1"/>
  <c r="H279" i="1"/>
  <c r="H796" i="1"/>
  <c r="J797" i="1"/>
  <c r="J798" i="1"/>
  <c r="I797" i="1"/>
  <c r="I798" i="1"/>
  <c r="H797" i="1"/>
  <c r="H798" i="1"/>
  <c r="G797" i="1"/>
  <c r="G798" i="1"/>
  <c r="K797" i="1"/>
  <c r="K798" i="1"/>
  <c r="F286" i="1"/>
  <c r="J292" i="1"/>
  <c r="G286" i="1"/>
  <c r="I292" i="1"/>
  <c r="H286" i="1"/>
  <c r="H302" i="1"/>
  <c r="J286" i="1"/>
  <c r="I302" i="1"/>
  <c r="K286" i="1"/>
  <c r="I286" i="1"/>
  <c r="G410" i="1"/>
  <c r="G301" i="1"/>
  <c r="I301" i="1"/>
  <c r="H301" i="1"/>
  <c r="F301" i="1"/>
  <c r="J301" i="1"/>
  <c r="K301" i="1"/>
  <c r="G68" i="1"/>
  <c r="I68" i="1"/>
  <c r="K68" i="1"/>
  <c r="H68" i="1"/>
  <c r="J68" i="1"/>
  <c r="F68" i="1"/>
  <c r="K793" i="1"/>
  <c r="J793" i="1"/>
  <c r="I793" i="1"/>
  <c r="H793" i="1"/>
  <c r="G793" i="1"/>
  <c r="F793" i="1"/>
  <c r="K1041" i="1" l="1"/>
  <c r="H1041" i="1"/>
  <c r="G1041" i="1"/>
  <c r="F1041" i="1"/>
  <c r="F1093" i="1" s="1"/>
  <c r="I1094" i="1"/>
  <c r="I1093" i="1"/>
  <c r="I1095" i="1"/>
  <c r="J1093" i="1"/>
  <c r="J1095" i="1"/>
  <c r="J1094" i="1"/>
  <c r="I1045" i="1"/>
  <c r="I1069" i="1"/>
  <c r="I1068" i="1"/>
  <c r="I1067" i="1"/>
  <c r="J1045" i="1"/>
  <c r="J1068" i="1"/>
  <c r="J1067" i="1"/>
  <c r="J1069" i="1"/>
  <c r="F938" i="1"/>
  <c r="F961" i="1" s="1"/>
  <c r="G941" i="1"/>
  <c r="G964" i="1" s="1"/>
  <c r="F941" i="1"/>
  <c r="F964" i="1" s="1"/>
  <c r="H937" i="1"/>
  <c r="H960" i="1" s="1"/>
  <c r="K940" i="1"/>
  <c r="K963" i="1" s="1"/>
  <c r="I937" i="1"/>
  <c r="I960" i="1" s="1"/>
  <c r="J937" i="1"/>
  <c r="J960" i="1" s="1"/>
  <c r="J940" i="1"/>
  <c r="J963" i="1" s="1"/>
  <c r="I940" i="1"/>
  <c r="I963" i="1" s="1"/>
  <c r="K937" i="1"/>
  <c r="K960" i="1" s="1"/>
  <c r="K941" i="1"/>
  <c r="K964" i="1" s="1"/>
  <c r="F937" i="1"/>
  <c r="F960" i="1" s="1"/>
  <c r="G937" i="1"/>
  <c r="G960" i="1" s="1"/>
  <c r="G940" i="1"/>
  <c r="G963" i="1" s="1"/>
  <c r="I938" i="1"/>
  <c r="I961" i="1" s="1"/>
  <c r="I939" i="1"/>
  <c r="I962" i="1" s="1"/>
  <c r="G939" i="1"/>
  <c r="G962" i="1" s="1"/>
  <c r="J938" i="1"/>
  <c r="J961" i="1" s="1"/>
  <c r="F939" i="1"/>
  <c r="F962" i="1" s="1"/>
  <c r="H938" i="1"/>
  <c r="H961" i="1" s="1"/>
  <c r="H940" i="1"/>
  <c r="H963" i="1" s="1"/>
  <c r="J941" i="1"/>
  <c r="J964" i="1" s="1"/>
  <c r="H939" i="1"/>
  <c r="H962" i="1" s="1"/>
  <c r="J939" i="1"/>
  <c r="J962" i="1" s="1"/>
  <c r="F940" i="1"/>
  <c r="F963" i="1" s="1"/>
  <c r="H941" i="1"/>
  <c r="H964" i="1" s="1"/>
  <c r="K939" i="1"/>
  <c r="K962" i="1" s="1"/>
  <c r="I941" i="1"/>
  <c r="I964" i="1" s="1"/>
  <c r="K938" i="1"/>
  <c r="K961" i="1" s="1"/>
  <c r="G938" i="1"/>
  <c r="G961" i="1" s="1"/>
  <c r="H410" i="1"/>
  <c r="G280" i="1"/>
  <c r="H280" i="1"/>
  <c r="I280" i="1"/>
  <c r="F280" i="1"/>
  <c r="J280" i="1"/>
  <c r="K280" i="1"/>
  <c r="I410" i="1"/>
  <c r="G525" i="1"/>
  <c r="G302" i="1"/>
  <c r="G415" i="1"/>
  <c r="K410" i="1"/>
  <c r="K302" i="1"/>
  <c r="J410" i="1"/>
  <c r="J302" i="1"/>
  <c r="E266" i="1"/>
  <c r="E265" i="1"/>
  <c r="E264" i="1"/>
  <c r="E245" i="1"/>
  <c r="E244" i="1"/>
  <c r="E243" i="1"/>
  <c r="E259" i="1" s="1"/>
  <c r="E242" i="1"/>
  <c r="E287" i="1"/>
  <c r="E289" i="1" s="1"/>
  <c r="E282" i="1"/>
  <c r="E281" i="1"/>
  <c r="E279" i="1"/>
  <c r="E278" i="1"/>
  <c r="K1093" i="1" l="1"/>
  <c r="K1094" i="1"/>
  <c r="K1095" i="1"/>
  <c r="K1045" i="1"/>
  <c r="K1067" i="1"/>
  <c r="K1068" i="1"/>
  <c r="K1069" i="1"/>
  <c r="H1045" i="1"/>
  <c r="H1069" i="1"/>
  <c r="G1068" i="1"/>
  <c r="G1095" i="1"/>
  <c r="G1094" i="1"/>
  <c r="G1093" i="1"/>
  <c r="G1045" i="1"/>
  <c r="G1069" i="1"/>
  <c r="H1068" i="1"/>
  <c r="H1095" i="1"/>
  <c r="H1094" i="1"/>
  <c r="H1093" i="1"/>
  <c r="H1067" i="1"/>
  <c r="G1067" i="1"/>
  <c r="F1095" i="1"/>
  <c r="F1045" i="1"/>
  <c r="F1094" i="1"/>
  <c r="F1069" i="1"/>
  <c r="F1068" i="1"/>
  <c r="F1067" i="1"/>
  <c r="G413" i="1"/>
  <c r="G412" i="1" s="1"/>
  <c r="G414" i="1"/>
  <c r="H415" i="1"/>
  <c r="H525" i="1"/>
  <c r="I525" i="1"/>
  <c r="I415" i="1"/>
  <c r="K525" i="1"/>
  <c r="J525" i="1"/>
  <c r="K415" i="1"/>
  <c r="J415" i="1"/>
  <c r="E63" i="1"/>
  <c r="E65" i="1" s="1"/>
  <c r="E66" i="1" s="1"/>
  <c r="E67" i="1" s="1"/>
  <c r="E73" i="1" s="1"/>
  <c r="I46" i="1"/>
  <c r="I1732" i="1" s="1"/>
  <c r="H46" i="1"/>
  <c r="H1732" i="1" s="1"/>
  <c r="G46" i="1"/>
  <c r="G1732" i="1" s="1"/>
  <c r="F46" i="1"/>
  <c r="F1732" i="1" s="1"/>
  <c r="I45" i="1"/>
  <c r="H45" i="1"/>
  <c r="G45" i="1"/>
  <c r="F45" i="1"/>
  <c r="H1615" i="1" l="1"/>
  <c r="H1568" i="1"/>
  <c r="H1567" i="1" s="1"/>
  <c r="H1566" i="1" s="1"/>
  <c r="H1426" i="1"/>
  <c r="H1425" i="1" s="1"/>
  <c r="H1424" i="1" s="1"/>
  <c r="H1342" i="1"/>
  <c r="H1341" i="1" s="1"/>
  <c r="H1340" i="1" s="1"/>
  <c r="H1204" i="1"/>
  <c r="H1203" i="1" s="1"/>
  <c r="H1202" i="1" s="1"/>
  <c r="I1568" i="1"/>
  <c r="I1567" i="1" s="1"/>
  <c r="I1566" i="1" s="1"/>
  <c r="I1615" i="1"/>
  <c r="I1614" i="1" s="1"/>
  <c r="I1613" i="1" s="1"/>
  <c r="I1426" i="1"/>
  <c r="I1425" i="1" s="1"/>
  <c r="I1424" i="1" s="1"/>
  <c r="I1342" i="1"/>
  <c r="I1341" i="1" s="1"/>
  <c r="I1340" i="1" s="1"/>
  <c r="I1204" i="1"/>
  <c r="I1203" i="1" s="1"/>
  <c r="I1202" i="1" s="1"/>
  <c r="G1615" i="1"/>
  <c r="G1614" i="1" s="1"/>
  <c r="G1613" i="1" s="1"/>
  <c r="G1568" i="1"/>
  <c r="G1567" i="1" s="1"/>
  <c r="G1566" i="1" s="1"/>
  <c r="G1426" i="1"/>
  <c r="G1425" i="1" s="1"/>
  <c r="G1424" i="1" s="1"/>
  <c r="G1342" i="1"/>
  <c r="G1341" i="1" s="1"/>
  <c r="G1340" i="1" s="1"/>
  <c r="G1204" i="1"/>
  <c r="G1203" i="1" s="1"/>
  <c r="G1202" i="1" s="1"/>
  <c r="F1568" i="1"/>
  <c r="F1567" i="1" s="1"/>
  <c r="F1566" i="1" s="1"/>
  <c r="F1615" i="1"/>
  <c r="F1614" i="1" s="1"/>
  <c r="F1613" i="1" s="1"/>
  <c r="F1426" i="1"/>
  <c r="F1425" i="1" s="1"/>
  <c r="F1424" i="1" s="1"/>
  <c r="F1342" i="1"/>
  <c r="F1341" i="1" s="1"/>
  <c r="F1340" i="1" s="1"/>
  <c r="F1204" i="1"/>
  <c r="F1203" i="1" s="1"/>
  <c r="H1614" i="1"/>
  <c r="H1613" i="1" s="1"/>
  <c r="F1731" i="1"/>
  <c r="G1731" i="1"/>
  <c r="H1731" i="1"/>
  <c r="I1731" i="1"/>
  <c r="F44" i="1"/>
  <c r="F1730" i="1" s="1"/>
  <c r="H44" i="1"/>
  <c r="H1730" i="1" s="1"/>
  <c r="G44" i="1"/>
  <c r="G1730" i="1" s="1"/>
  <c r="I44" i="1"/>
  <c r="I1730" i="1" s="1"/>
  <c r="J413" i="1"/>
  <c r="J412" i="1" s="1"/>
  <c r="J414" i="1"/>
  <c r="K413" i="1"/>
  <c r="K412" i="1" s="1"/>
  <c r="K414" i="1"/>
  <c r="I413" i="1"/>
  <c r="I412" i="1" s="1"/>
  <c r="I414" i="1"/>
  <c r="H413" i="1"/>
  <c r="H412" i="1" s="1"/>
  <c r="H414" i="1"/>
  <c r="E129" i="1"/>
  <c r="E130" i="1" s="1"/>
  <c r="E81" i="1" s="1"/>
  <c r="E82" i="1" s="1"/>
  <c r="E83" i="1" s="1"/>
  <c r="E84" i="1" s="1"/>
  <c r="E150" i="1" s="1"/>
  <c r="E131" i="1" s="1"/>
  <c r="E132" i="1" s="1"/>
  <c r="E74" i="1" s="1"/>
  <c r="E85" i="1" s="1"/>
  <c r="E168" i="1" s="1"/>
  <c r="E76" i="1"/>
  <c r="E72" i="1"/>
  <c r="E64" i="1"/>
  <c r="K45" i="1"/>
  <c r="J45" i="1"/>
  <c r="J1731" i="1" l="1"/>
  <c r="K1731" i="1"/>
  <c r="K44" i="1"/>
  <c r="K1730" i="1" s="1"/>
  <c r="J44" i="1"/>
  <c r="J1730" i="1" s="1"/>
  <c r="E151" i="1"/>
  <c r="E165" i="1" s="1"/>
  <c r="E181" i="1" s="1"/>
  <c r="E106" i="1" s="1"/>
  <c r="E209" i="1"/>
  <c r="E80" i="1"/>
  <c r="E180" i="1"/>
  <c r="E77" i="1"/>
  <c r="K47" i="1"/>
  <c r="J47" i="1"/>
  <c r="J1342" i="1" l="1"/>
  <c r="J1204" i="1"/>
  <c r="J1568" i="1"/>
  <c r="J1426" i="1"/>
  <c r="K1427" i="1"/>
  <c r="K1343" i="1"/>
  <c r="K1616" i="1"/>
  <c r="K1205" i="1"/>
  <c r="K1569" i="1"/>
  <c r="K1342" i="1"/>
  <c r="K1426" i="1"/>
  <c r="K1204" i="1"/>
  <c r="K1615" i="1"/>
  <c r="K1568" i="1"/>
  <c r="J1616" i="1"/>
  <c r="J1427" i="1"/>
  <c r="J1343" i="1"/>
  <c r="J1205" i="1"/>
  <c r="J1569" i="1"/>
  <c r="J1615" i="1"/>
  <c r="J1567" i="1"/>
  <c r="J1566" i="1" s="1"/>
  <c r="K1733" i="1"/>
  <c r="J1733" i="1"/>
  <c r="J46" i="1"/>
  <c r="J1732" i="1" s="1"/>
  <c r="K46" i="1"/>
  <c r="K1732" i="1" s="1"/>
  <c r="E208" i="1"/>
  <c r="E267" i="1" s="1"/>
  <c r="E158" i="1"/>
  <c r="E160" i="1" s="1"/>
  <c r="E276" i="1"/>
  <c r="E275" i="1"/>
  <c r="E105" i="1"/>
  <c r="K1567" i="1" l="1"/>
  <c r="K1566" i="1" s="1"/>
  <c r="K1614" i="1"/>
  <c r="K1613" i="1" s="1"/>
  <c r="J1614" i="1"/>
  <c r="J1613" i="1" s="1"/>
  <c r="K1425" i="1"/>
  <c r="K1424" i="1" s="1"/>
  <c r="J1425" i="1"/>
  <c r="J1424" i="1" s="1"/>
  <c r="J1203" i="1"/>
  <c r="J1341" i="1"/>
  <c r="J1340" i="1" s="1"/>
  <c r="K1341" i="1"/>
  <c r="K1340" i="1" s="1"/>
  <c r="K1203" i="1"/>
  <c r="E172" i="1"/>
  <c r="E161" i="1"/>
  <c r="E174" i="1"/>
  <c r="E249" i="1" l="1"/>
  <c r="E221" i="1"/>
  <c r="E97" i="1"/>
  <c r="E239" i="1"/>
  <c r="E285" i="1" s="1"/>
  <c r="E218" i="1"/>
  <c r="E220" i="1"/>
  <c r="E223" i="1"/>
  <c r="E250" i="1"/>
  <c r="E227" i="1"/>
  <c r="E229" i="1"/>
  <c r="E99" i="1"/>
  <c r="E252" i="1"/>
  <c r="E226" i="1"/>
  <c r="E246" i="1" s="1"/>
  <c r="E241" i="1"/>
  <c r="E162" i="1"/>
  <c r="E175" i="1"/>
  <c r="E257" i="1" l="1"/>
  <c r="E288" i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258" i="1"/>
  <c r="E261" i="1"/>
  <c r="E100" i="1"/>
  <c r="E230" i="1"/>
  <c r="E248" i="1" s="1"/>
  <c r="E228" i="1"/>
  <c r="E247" i="1" s="1"/>
  <c r="E163" i="1"/>
  <c r="E176" i="1"/>
  <c r="E394" i="1" l="1"/>
  <c r="E395" i="1" s="1"/>
  <c r="E438" i="1"/>
  <c r="E497" i="1" s="1"/>
  <c r="E409" i="1"/>
  <c r="E506" i="1" s="1"/>
  <c r="E262" i="1"/>
  <c r="E101" i="1"/>
  <c r="E164" i="1"/>
  <c r="E177" i="1"/>
  <c r="E271" i="1" s="1"/>
  <c r="E396" i="1" l="1"/>
  <c r="E441" i="1" s="1"/>
  <c r="E407" i="1"/>
  <c r="E263" i="1"/>
  <c r="E102" i="1"/>
  <c r="E86" i="1"/>
  <c r="E87" i="1" s="1"/>
  <c r="E75" i="1" s="1"/>
  <c r="E152" i="1" s="1"/>
  <c r="E178" i="1"/>
  <c r="E167" i="1"/>
  <c r="E179" i="1" s="1"/>
  <c r="E274" i="1" s="1"/>
  <c r="E504" i="1" l="1"/>
  <c r="E503" i="1"/>
  <c r="E397" i="1"/>
  <c r="E439" i="1"/>
  <c r="E408" i="1"/>
  <c r="E505" i="1" s="1"/>
  <c r="E153" i="1"/>
  <c r="E133" i="1" s="1"/>
  <c r="E134" i="1" s="1"/>
  <c r="E169" i="1" s="1"/>
  <c r="E166" i="1"/>
  <c r="E273" i="1"/>
  <c r="E104" i="1"/>
  <c r="E272" i="1"/>
  <c r="E103" i="1"/>
  <c r="E443" i="1" l="1"/>
  <c r="E464" i="1"/>
  <c r="E232" i="1"/>
  <c r="E234" i="1"/>
  <c r="E135" i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398" i="1"/>
  <c r="E466" i="1" s="1"/>
  <c r="E442" i="1"/>
  <c r="E440" i="1"/>
  <c r="E513" i="1" s="1"/>
  <c r="E462" i="1"/>
  <c r="E461" i="1"/>
  <c r="E498" i="1" s="1"/>
  <c r="E210" i="1"/>
  <c r="E283" i="1" s="1"/>
  <c r="E212" i="1"/>
  <c r="E88" i="1"/>
  <c r="E89" i="1" s="1"/>
  <c r="E90" i="1" s="1"/>
  <c r="E231" i="1"/>
  <c r="E268" i="1" s="1"/>
  <c r="E159" i="1"/>
  <c r="E173" i="1" s="1"/>
  <c r="E260" i="1" s="1"/>
  <c r="E78" i="1" l="1"/>
  <c r="E399" i="1"/>
  <c r="E449" i="1" s="1"/>
  <c r="E465" i="1"/>
  <c r="E463" i="1"/>
  <c r="E499" i="1" s="1"/>
  <c r="E444" i="1"/>
  <c r="E514" i="1" s="1"/>
  <c r="E445" i="1"/>
  <c r="E251" i="1"/>
  <c r="E225" i="1"/>
  <c r="E240" i="1"/>
  <c r="E98" i="1"/>
  <c r="E224" i="1"/>
  <c r="E222" i="1"/>
  <c r="E154" i="1"/>
  <c r="E91" i="1" s="1"/>
  <c r="E92" i="1" s="1"/>
  <c r="E155" i="1" s="1"/>
  <c r="E93" i="1" s="1"/>
  <c r="E94" i="1" s="1"/>
  <c r="E156" i="1" s="1"/>
  <c r="E170" i="1" s="1"/>
  <c r="E79" i="1"/>
  <c r="E71" i="1" s="1"/>
  <c r="E213" i="1" l="1"/>
  <c r="E236" i="1"/>
  <c r="E215" i="1"/>
  <c r="E211" i="1"/>
  <c r="E400" i="1"/>
  <c r="E451" i="1" s="1"/>
  <c r="E467" i="1"/>
  <c r="E500" i="1" s="1"/>
  <c r="E447" i="1"/>
  <c r="E468" i="1"/>
  <c r="E446" i="1"/>
  <c r="E233" i="1"/>
  <c r="E269" i="1" s="1"/>
  <c r="E235" i="1"/>
  <c r="E95" i="1"/>
  <c r="E157" i="1" s="1"/>
  <c r="E171" i="1" s="1"/>
  <c r="E214" i="1"/>
  <c r="E284" i="1" s="1"/>
  <c r="E238" i="1" l="1"/>
  <c r="E219" i="1"/>
  <c r="E401" i="1"/>
  <c r="E448" i="1"/>
  <c r="E480" i="1"/>
  <c r="E479" i="1"/>
  <c r="E453" i="1"/>
  <c r="E450" i="1"/>
  <c r="E469" i="1"/>
  <c r="E96" i="1"/>
  <c r="E217" i="1"/>
  <c r="E112" i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216" i="1"/>
  <c r="E237" i="1"/>
  <c r="E270" i="1" s="1"/>
  <c r="E487" i="1" l="1"/>
  <c r="E515" i="1"/>
  <c r="E402" i="1"/>
  <c r="E490" i="1"/>
  <c r="E481" i="1"/>
  <c r="E455" i="1"/>
  <c r="E454" i="1"/>
  <c r="E452" i="1"/>
  <c r="E470" i="1"/>
  <c r="E125" i="1"/>
  <c r="E126" i="1" s="1"/>
  <c r="E127" i="1" s="1"/>
  <c r="E128" i="1" s="1"/>
  <c r="E70" i="1"/>
  <c r="E56" i="1"/>
  <c r="E57" i="1" s="1"/>
  <c r="E58" i="1" s="1"/>
  <c r="E59" i="1" s="1"/>
  <c r="F34" i="1"/>
  <c r="I35" i="1"/>
  <c r="I1721" i="1" s="1"/>
  <c r="H35" i="1"/>
  <c r="H1721" i="1" s="1"/>
  <c r="G35" i="1"/>
  <c r="G1721" i="1" s="1"/>
  <c r="F35" i="1"/>
  <c r="F1721" i="1" s="1"/>
  <c r="I34" i="1"/>
  <c r="H34" i="1"/>
  <c r="G34" i="1"/>
  <c r="I33" i="1"/>
  <c r="H33" i="1"/>
  <c r="G33" i="1"/>
  <c r="F33" i="1"/>
  <c r="K1202" i="1"/>
  <c r="J1202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2" i="1" s="1"/>
  <c r="H1650" i="1" l="1"/>
  <c r="H1649" i="1" s="1"/>
  <c r="H1553" i="1"/>
  <c r="H1552" i="1" s="1"/>
  <c r="H1551" i="1" s="1"/>
  <c r="H1600" i="1"/>
  <c r="H1599" i="1" s="1"/>
  <c r="H1598" i="1" s="1"/>
  <c r="H1509" i="1"/>
  <c r="H1508" i="1" s="1"/>
  <c r="H1507" i="1" s="1"/>
  <c r="H1158" i="1"/>
  <c r="H1157" i="1" s="1"/>
  <c r="H1156" i="1" s="1"/>
  <c r="G1650" i="1"/>
  <c r="G1649" i="1" s="1"/>
  <c r="G1553" i="1"/>
  <c r="G1552" i="1" s="1"/>
  <c r="G1551" i="1" s="1"/>
  <c r="G1600" i="1"/>
  <c r="G1599" i="1" s="1"/>
  <c r="G1598" i="1" s="1"/>
  <c r="G1509" i="1"/>
  <c r="G1508" i="1" s="1"/>
  <c r="G1507" i="1" s="1"/>
  <c r="G1158" i="1"/>
  <c r="G1157" i="1" s="1"/>
  <c r="G1156" i="1" s="1"/>
  <c r="F1650" i="1"/>
  <c r="F1649" i="1" s="1"/>
  <c r="F1600" i="1"/>
  <c r="F1599" i="1" s="1"/>
  <c r="F1598" i="1" s="1"/>
  <c r="F1553" i="1"/>
  <c r="F1552" i="1" s="1"/>
  <c r="F1551" i="1" s="1"/>
  <c r="F1509" i="1"/>
  <c r="F1508" i="1" s="1"/>
  <c r="F1507" i="1" s="1"/>
  <c r="F1158" i="1"/>
  <c r="F1157" i="1" s="1"/>
  <c r="F1156" i="1" s="1"/>
  <c r="I1650" i="1"/>
  <c r="I1649" i="1" s="1"/>
  <c r="I1553" i="1"/>
  <c r="I1552" i="1" s="1"/>
  <c r="I1551" i="1" s="1"/>
  <c r="I1600" i="1"/>
  <c r="I1599" i="1" s="1"/>
  <c r="I1598" i="1" s="1"/>
  <c r="I1509" i="1"/>
  <c r="I1508" i="1" s="1"/>
  <c r="I1507" i="1" s="1"/>
  <c r="I1158" i="1"/>
  <c r="I1157" i="1" s="1"/>
  <c r="I1156" i="1" s="1"/>
  <c r="F1656" i="1"/>
  <c r="F1607" i="1"/>
  <c r="F1606" i="1" s="1"/>
  <c r="F1605" i="1" s="1"/>
  <c r="F1560" i="1"/>
  <c r="F1559" i="1" s="1"/>
  <c r="F1558" i="1" s="1"/>
  <c r="F1412" i="1"/>
  <c r="F1411" i="1" s="1"/>
  <c r="F1410" i="1" s="1"/>
  <c r="F1328" i="1"/>
  <c r="F1327" i="1" s="1"/>
  <c r="F1326" i="1" s="1"/>
  <c r="F1181" i="1"/>
  <c r="F1180" i="1" s="1"/>
  <c r="F1179" i="1" s="1"/>
  <c r="G1656" i="1"/>
  <c r="G1560" i="1"/>
  <c r="G1559" i="1" s="1"/>
  <c r="G1558" i="1" s="1"/>
  <c r="G1607" i="1"/>
  <c r="G1606" i="1" s="1"/>
  <c r="G1605" i="1" s="1"/>
  <c r="G1412" i="1"/>
  <c r="G1411" i="1" s="1"/>
  <c r="G1410" i="1" s="1"/>
  <c r="G1328" i="1"/>
  <c r="G1327" i="1" s="1"/>
  <c r="G1326" i="1" s="1"/>
  <c r="G1181" i="1"/>
  <c r="G1180" i="1" s="1"/>
  <c r="G1179" i="1" s="1"/>
  <c r="H1656" i="1"/>
  <c r="H1560" i="1"/>
  <c r="H1559" i="1" s="1"/>
  <c r="H1558" i="1" s="1"/>
  <c r="H1607" i="1"/>
  <c r="H1606" i="1" s="1"/>
  <c r="H1605" i="1" s="1"/>
  <c r="H1412" i="1"/>
  <c r="H1411" i="1" s="1"/>
  <c r="H1410" i="1" s="1"/>
  <c r="H1328" i="1"/>
  <c r="H1327" i="1" s="1"/>
  <c r="H1326" i="1" s="1"/>
  <c r="H1181" i="1"/>
  <c r="H1180" i="1" s="1"/>
  <c r="H1179" i="1" s="1"/>
  <c r="I1656" i="1"/>
  <c r="I1607" i="1"/>
  <c r="I1606" i="1" s="1"/>
  <c r="I1605" i="1" s="1"/>
  <c r="I1560" i="1"/>
  <c r="I1559" i="1" s="1"/>
  <c r="I1558" i="1" s="1"/>
  <c r="I1412" i="1"/>
  <c r="I1411" i="1" s="1"/>
  <c r="I1410" i="1" s="1"/>
  <c r="I1328" i="1"/>
  <c r="I1327" i="1" s="1"/>
  <c r="I1326" i="1" s="1"/>
  <c r="I1181" i="1"/>
  <c r="I1180" i="1" s="1"/>
  <c r="I1179" i="1" s="1"/>
  <c r="H1720" i="1"/>
  <c r="I1720" i="1"/>
  <c r="F1720" i="1"/>
  <c r="H1719" i="1"/>
  <c r="G1720" i="1"/>
  <c r="F1719" i="1"/>
  <c r="G1719" i="1"/>
  <c r="I1719" i="1"/>
  <c r="E403" i="1"/>
  <c r="E459" i="1"/>
  <c r="E482" i="1"/>
  <c r="E457" i="1"/>
  <c r="E456" i="1"/>
  <c r="E476" i="1" s="1"/>
  <c r="E471" i="1"/>
  <c r="E60" i="1"/>
  <c r="E62" i="1" s="1"/>
  <c r="E69" i="1"/>
  <c r="E68" i="1"/>
  <c r="K40" i="1"/>
  <c r="C24" i="1"/>
  <c r="C25" i="1" s="1"/>
  <c r="C26" i="1" s="1"/>
  <c r="C27" i="1" s="1"/>
  <c r="C41" i="1" s="1"/>
  <c r="C42" i="1" s="1"/>
  <c r="C48" i="1" s="1"/>
  <c r="C29" i="1" s="1"/>
  <c r="C23" i="1"/>
  <c r="A24" i="1"/>
  <c r="A25" i="1" s="1"/>
  <c r="A26" i="1" s="1"/>
  <c r="A27" i="1" s="1"/>
  <c r="A28" i="1" s="1"/>
  <c r="A39" i="1" s="1"/>
  <c r="A23" i="1"/>
  <c r="G40" i="1"/>
  <c r="F40" i="1"/>
  <c r="K23" i="1"/>
  <c r="K1709" i="1" s="1"/>
  <c r="F23" i="1"/>
  <c r="F1709" i="1" s="1"/>
  <c r="G23" i="1"/>
  <c r="G1709" i="1" s="1"/>
  <c r="H40" i="1"/>
  <c r="J40" i="1"/>
  <c r="I40" i="1"/>
  <c r="H23" i="1"/>
  <c r="H1709" i="1" s="1"/>
  <c r="I23" i="1"/>
  <c r="I1709" i="1" s="1"/>
  <c r="J23" i="1"/>
  <c r="J1709" i="1" s="1"/>
  <c r="J8" i="1"/>
  <c r="J1742" i="1" s="1"/>
  <c r="H8" i="1"/>
  <c r="H1742" i="1" s="1"/>
  <c r="G8" i="1"/>
  <c r="G1742" i="1" s="1"/>
  <c r="G49" i="1"/>
  <c r="H49" i="1"/>
  <c r="J49" i="1"/>
  <c r="G32" i="1"/>
  <c r="G1718" i="1" s="1"/>
  <c r="K49" i="1"/>
  <c r="K56" i="1"/>
  <c r="F56" i="1"/>
  <c r="J56" i="1"/>
  <c r="I56" i="1"/>
  <c r="H56" i="1"/>
  <c r="G56" i="1"/>
  <c r="F49" i="1"/>
  <c r="I49" i="1"/>
  <c r="I32" i="1"/>
  <c r="I1718" i="1" s="1"/>
  <c r="H32" i="1"/>
  <c r="H1718" i="1" s="1"/>
  <c r="F32" i="1"/>
  <c r="F1718" i="1" s="1"/>
  <c r="J34" i="1"/>
  <c r="J33" i="1"/>
  <c r="K33" i="1"/>
  <c r="K34" i="1"/>
  <c r="I29" i="1"/>
  <c r="I1715" i="1" s="1"/>
  <c r="K29" i="1"/>
  <c r="K1715" i="1" s="1"/>
  <c r="H29" i="1"/>
  <c r="H1715" i="1" s="1"/>
  <c r="G29" i="1"/>
  <c r="G1715" i="1" s="1"/>
  <c r="J29" i="1"/>
  <c r="J1715" i="1" s="1"/>
  <c r="F29" i="1"/>
  <c r="F1715" i="1" s="1"/>
  <c r="F8" i="1"/>
  <c r="F1742" i="1" s="1"/>
  <c r="K8" i="1"/>
  <c r="K1742" i="1" s="1"/>
  <c r="H3" i="1"/>
  <c r="H1737" i="1" s="1"/>
  <c r="I3" i="1"/>
  <c r="I1737" i="1" s="1"/>
  <c r="J3" i="1"/>
  <c r="J1737" i="1" s="1"/>
  <c r="K3" i="1"/>
  <c r="K1737" i="1" s="1"/>
  <c r="F3" i="1"/>
  <c r="F1737" i="1" s="1"/>
  <c r="G3" i="1"/>
  <c r="G1737" i="1" s="1"/>
  <c r="J39" i="1" l="1"/>
  <c r="J1725" i="1" s="1"/>
  <c r="J1726" i="1"/>
  <c r="I55" i="1"/>
  <c r="F16" i="4" s="1"/>
  <c r="I1735" i="1"/>
  <c r="G55" i="1"/>
  <c r="D16" i="4" s="1"/>
  <c r="G1735" i="1"/>
  <c r="J55" i="1"/>
  <c r="G16" i="4" s="1"/>
  <c r="J1735" i="1"/>
  <c r="J1720" i="1"/>
  <c r="H39" i="1"/>
  <c r="H1725" i="1" s="1"/>
  <c r="H1726" i="1"/>
  <c r="F39" i="1"/>
  <c r="F1725" i="1" s="1"/>
  <c r="F1726" i="1"/>
  <c r="K55" i="1"/>
  <c r="H16" i="4" s="1"/>
  <c r="K1735" i="1"/>
  <c r="H55" i="1"/>
  <c r="E16" i="4" s="1"/>
  <c r="H1735" i="1"/>
  <c r="F55" i="1"/>
  <c r="C16" i="4" s="1"/>
  <c r="F1735" i="1"/>
  <c r="J1719" i="1"/>
  <c r="I39" i="1"/>
  <c r="I1725" i="1" s="1"/>
  <c r="I1726" i="1"/>
  <c r="G39" i="1"/>
  <c r="G1725" i="1" s="1"/>
  <c r="G1726" i="1"/>
  <c r="K1720" i="1"/>
  <c r="K39" i="1"/>
  <c r="K1725" i="1" s="1"/>
  <c r="K1726" i="1"/>
  <c r="K1719" i="1"/>
  <c r="G1655" i="1"/>
  <c r="H1648" i="1"/>
  <c r="I1648" i="1"/>
  <c r="G1648" i="1"/>
  <c r="F1655" i="1"/>
  <c r="I1655" i="1"/>
  <c r="H1655" i="1"/>
  <c r="F1648" i="1"/>
  <c r="J37" i="1"/>
  <c r="K37" i="1"/>
  <c r="E518" i="1"/>
  <c r="E488" i="1"/>
  <c r="E404" i="1"/>
  <c r="E491" i="1"/>
  <c r="E460" i="1"/>
  <c r="E478" i="1" s="1"/>
  <c r="E458" i="1"/>
  <c r="E477" i="1" s="1"/>
  <c r="A41" i="1"/>
  <c r="A42" i="1" s="1"/>
  <c r="A48" i="1" s="1"/>
  <c r="A29" i="1" s="1"/>
  <c r="A32" i="1" s="1"/>
  <c r="A35" i="1" s="1"/>
  <c r="A30" i="1" s="1"/>
  <c r="A31" i="1" s="1"/>
  <c r="A33" i="1" s="1"/>
  <c r="A34" i="1" s="1"/>
  <c r="A36" i="1" s="1"/>
  <c r="A37" i="1" s="1"/>
  <c r="A49" i="1" s="1"/>
  <c r="A50" i="1" s="1"/>
  <c r="A51" i="1" s="1"/>
  <c r="A52" i="1" s="1"/>
  <c r="A53" i="1" s="1"/>
  <c r="A55" i="1" s="1"/>
  <c r="A56" i="1" s="1"/>
  <c r="A57" i="1" s="1"/>
  <c r="A58" i="1" s="1"/>
  <c r="A59" i="1" s="1"/>
  <c r="C28" i="1"/>
  <c r="C39" i="1" s="1"/>
  <c r="G22" i="1"/>
  <c r="K22" i="1"/>
  <c r="F22" i="1"/>
  <c r="C32" i="1"/>
  <c r="C35" i="1" s="1"/>
  <c r="C30" i="1" s="1"/>
  <c r="C31" i="1" s="1"/>
  <c r="C33" i="1" s="1"/>
  <c r="C34" i="1" s="1"/>
  <c r="C36" i="1" s="1"/>
  <c r="C37" i="1" s="1"/>
  <c r="C40" i="1"/>
  <c r="J22" i="1"/>
  <c r="I22" i="1"/>
  <c r="H22" i="1"/>
  <c r="J32" i="1"/>
  <c r="J1718" i="1" s="1"/>
  <c r="K32" i="1"/>
  <c r="K1718" i="1" s="1"/>
  <c r="J36" i="1"/>
  <c r="J1607" i="1" s="1"/>
  <c r="K36" i="1"/>
  <c r="K1656" i="1" s="1"/>
  <c r="J1650" i="1" l="1"/>
  <c r="J1600" i="1"/>
  <c r="K1601" i="1"/>
  <c r="K1651" i="1"/>
  <c r="K1554" i="1"/>
  <c r="K1510" i="1"/>
  <c r="K1159" i="1"/>
  <c r="J1412" i="1"/>
  <c r="J1656" i="1"/>
  <c r="J1554" i="1"/>
  <c r="J1601" i="1"/>
  <c r="J1651" i="1"/>
  <c r="J1510" i="1"/>
  <c r="J1159" i="1"/>
  <c r="J1181" i="1"/>
  <c r="K1328" i="1"/>
  <c r="J1553" i="1"/>
  <c r="K1509" i="1"/>
  <c r="K1600" i="1"/>
  <c r="K1182" i="1"/>
  <c r="K1561" i="1"/>
  <c r="K1608" i="1"/>
  <c r="K1329" i="1"/>
  <c r="K1657" i="1"/>
  <c r="K1413" i="1"/>
  <c r="J1329" i="1"/>
  <c r="J1182" i="1"/>
  <c r="J1561" i="1"/>
  <c r="J1608" i="1"/>
  <c r="J1657" i="1"/>
  <c r="J1413" i="1"/>
  <c r="J1560" i="1"/>
  <c r="K1181" i="1"/>
  <c r="K1607" i="1"/>
  <c r="J1158" i="1"/>
  <c r="K1553" i="1"/>
  <c r="J1328" i="1"/>
  <c r="K1412" i="1"/>
  <c r="K1560" i="1"/>
  <c r="K1158" i="1"/>
  <c r="J1509" i="1"/>
  <c r="K1650" i="1"/>
  <c r="K1723" i="1"/>
  <c r="H20" i="1"/>
  <c r="E15" i="4" s="1"/>
  <c r="H1708" i="1"/>
  <c r="I20" i="1"/>
  <c r="F15" i="4" s="1"/>
  <c r="I1708" i="1"/>
  <c r="J20" i="1"/>
  <c r="G15" i="4" s="1"/>
  <c r="J1708" i="1"/>
  <c r="F20" i="1"/>
  <c r="C15" i="4" s="1"/>
  <c r="F1708" i="1"/>
  <c r="K20" i="1"/>
  <c r="H15" i="4" s="1"/>
  <c r="K1708" i="1"/>
  <c r="J1723" i="1"/>
  <c r="G20" i="1"/>
  <c r="D15" i="4" s="1"/>
  <c r="G1708" i="1"/>
  <c r="J1722" i="1"/>
  <c r="K1722" i="1"/>
  <c r="I1654" i="1"/>
  <c r="F1654" i="1"/>
  <c r="G1654" i="1"/>
  <c r="H1654" i="1"/>
  <c r="K35" i="1"/>
  <c r="K1721" i="1" s="1"/>
  <c r="J35" i="1"/>
  <c r="J1721" i="1" s="1"/>
  <c r="C49" i="1"/>
  <c r="C50" i="1" s="1"/>
  <c r="C51" i="1" s="1"/>
  <c r="C52" i="1" s="1"/>
  <c r="C53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72" i="1" s="1"/>
  <c r="C73" i="1" s="1"/>
  <c r="C74" i="1" s="1"/>
  <c r="C76" i="1" s="1"/>
  <c r="C38" i="1"/>
  <c r="E405" i="1"/>
  <c r="E492" i="1"/>
  <c r="A40" i="1"/>
  <c r="A60" i="1"/>
  <c r="A61" i="1" s="1"/>
  <c r="A62" i="1" s="1"/>
  <c r="A63" i="1" s="1"/>
  <c r="A64" i="1" s="1"/>
  <c r="A65" i="1" s="1"/>
  <c r="A66" i="1" s="1"/>
  <c r="A67" i="1" s="1"/>
  <c r="A72" i="1" s="1"/>
  <c r="A73" i="1" s="1"/>
  <c r="A74" i="1" s="1"/>
  <c r="A76" i="1" s="1"/>
  <c r="A68" i="1"/>
  <c r="A69" i="1" s="1"/>
  <c r="A70" i="1" s="1"/>
  <c r="A71" i="1" s="1"/>
  <c r="C43" i="1"/>
  <c r="C44" i="1" s="1"/>
  <c r="C45" i="1" s="1"/>
  <c r="C47" i="1" s="1"/>
  <c r="A54" i="1"/>
  <c r="A43" i="1"/>
  <c r="K1552" i="1" l="1"/>
  <c r="K1551" i="1" s="1"/>
  <c r="J1157" i="1"/>
  <c r="J1156" i="1" s="1"/>
  <c r="J1599" i="1"/>
  <c r="J1598" i="1" s="1"/>
  <c r="K1649" i="1"/>
  <c r="K1648" i="1" s="1"/>
  <c r="K1599" i="1"/>
  <c r="K1598" i="1" s="1"/>
  <c r="K1606" i="1"/>
  <c r="K1605" i="1" s="1"/>
  <c r="K1655" i="1"/>
  <c r="J1655" i="1"/>
  <c r="J1606" i="1"/>
  <c r="J1605" i="1" s="1"/>
  <c r="J1649" i="1"/>
  <c r="K1157" i="1"/>
  <c r="K1156" i="1" s="1"/>
  <c r="J1552" i="1"/>
  <c r="J1551" i="1" s="1"/>
  <c r="K1327" i="1"/>
  <c r="K1326" i="1" s="1"/>
  <c r="J1411" i="1"/>
  <c r="J1410" i="1" s="1"/>
  <c r="K1411" i="1"/>
  <c r="K1410" i="1" s="1"/>
  <c r="K1559" i="1"/>
  <c r="K1558" i="1" s="1"/>
  <c r="J1508" i="1"/>
  <c r="J1507" i="1" s="1"/>
  <c r="J1559" i="1"/>
  <c r="J1558" i="1" s="1"/>
  <c r="K1508" i="1"/>
  <c r="K1507" i="1" s="1"/>
  <c r="J1180" i="1"/>
  <c r="J1179" i="1" s="1"/>
  <c r="J1327" i="1"/>
  <c r="J1326" i="1" s="1"/>
  <c r="K1180" i="1"/>
  <c r="K1179" i="1" s="1"/>
  <c r="C54" i="1"/>
  <c r="C68" i="1"/>
  <c r="C69" i="1" s="1"/>
  <c r="C70" i="1" s="1"/>
  <c r="C71" i="1" s="1"/>
  <c r="E406" i="1"/>
  <c r="E502" i="1" s="1"/>
  <c r="E501" i="1"/>
  <c r="E493" i="1"/>
  <c r="C46" i="1"/>
  <c r="C75" i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A75" i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44" i="1"/>
  <c r="A46" i="1" s="1"/>
  <c r="J1648" i="1" l="1"/>
  <c r="J1654" i="1"/>
  <c r="K1654" i="1"/>
  <c r="A112" i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7" i="1" s="1"/>
  <c r="A168" i="1" s="1"/>
  <c r="A165" i="1" s="1"/>
  <c r="A96" i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C112" i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7" i="1" s="1"/>
  <c r="C168" i="1" s="1"/>
  <c r="C165" i="1" s="1"/>
  <c r="C96" i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A45" i="1"/>
  <c r="A47" i="1" s="1"/>
  <c r="C169" i="1" l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66" i="1"/>
  <c r="A169" i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66" i="1"/>
  <c r="G550" i="1" l="1"/>
  <c r="F551" i="1"/>
  <c r="H550" i="1"/>
  <c r="K550" i="1"/>
  <c r="J551" i="1"/>
  <c r="F550" i="1"/>
  <c r="I550" i="1"/>
  <c r="J550" i="1"/>
  <c r="G551" i="1"/>
  <c r="H551" i="1"/>
  <c r="I551" i="1"/>
  <c r="K551" i="1"/>
  <c r="K204" i="1"/>
  <c r="J204" i="1"/>
  <c r="I204" i="1"/>
  <c r="H204" i="1"/>
  <c r="G204" i="1"/>
  <c r="F204" i="1"/>
  <c r="F229" i="1" l="1"/>
  <c r="F579" i="1"/>
  <c r="G229" i="1"/>
  <c r="G579" i="1"/>
  <c r="H229" i="1"/>
  <c r="H579" i="1"/>
  <c r="I229" i="1"/>
  <c r="I579" i="1"/>
  <c r="J229" i="1"/>
  <c r="J579" i="1"/>
  <c r="K229" i="1"/>
  <c r="K579" i="1"/>
  <c r="I227" i="1" l="1"/>
  <c r="I578" i="1"/>
  <c r="F227" i="1"/>
  <c r="F578" i="1"/>
  <c r="J227" i="1"/>
  <c r="J578" i="1"/>
  <c r="G227" i="1"/>
  <c r="G578" i="1"/>
  <c r="H227" i="1"/>
  <c r="H578" i="1"/>
  <c r="K227" i="1"/>
  <c r="K578" i="1"/>
  <c r="K794" i="1" l="1"/>
  <c r="J794" i="1"/>
  <c r="I794" i="1"/>
  <c r="H794" i="1"/>
  <c r="G794" i="1"/>
  <c r="F794" i="1"/>
  <c r="K206" i="1" l="1"/>
  <c r="J206" i="1"/>
  <c r="I206" i="1"/>
  <c r="H206" i="1"/>
  <c r="G206" i="1"/>
  <c r="F206" i="1"/>
  <c r="H436" i="1" l="1"/>
  <c r="F436" i="1"/>
  <c r="G436" i="1"/>
  <c r="I436" i="1"/>
  <c r="J531" i="1"/>
  <c r="K531" i="1"/>
  <c r="J436" i="1"/>
  <c r="K436" i="1"/>
  <c r="G223" i="1" l="1"/>
  <c r="G576" i="1"/>
  <c r="H223" i="1"/>
  <c r="H576" i="1"/>
  <c r="K223" i="1"/>
  <c r="K576" i="1"/>
  <c r="F223" i="1"/>
  <c r="F576" i="1"/>
  <c r="J223" i="1"/>
  <c r="J576" i="1"/>
  <c r="I223" i="1"/>
  <c r="I576" i="1"/>
  <c r="F562" i="1"/>
  <c r="J562" i="1"/>
  <c r="K562" i="1"/>
  <c r="G562" i="1"/>
  <c r="H562" i="1"/>
  <c r="I562" i="1"/>
  <c r="G531" i="1"/>
  <c r="I531" i="1"/>
  <c r="F531" i="1"/>
  <c r="H531" i="1"/>
  <c r="K792" i="1"/>
  <c r="J792" i="1"/>
  <c r="I792" i="1"/>
  <c r="H792" i="1"/>
  <c r="G792" i="1"/>
  <c r="G238" i="1" l="1"/>
  <c r="H238" i="1"/>
  <c r="I238" i="1"/>
  <c r="J238" i="1"/>
  <c r="K238" i="1"/>
  <c r="G195" i="1" l="1"/>
  <c r="K195" i="1"/>
  <c r="H195" i="1"/>
  <c r="I195" i="1"/>
  <c r="J195" i="1"/>
  <c r="F195" i="1"/>
  <c r="F194" i="1"/>
  <c r="F191" i="1" s="1"/>
  <c r="F101" i="1"/>
  <c r="F329" i="1" s="1"/>
  <c r="F345" i="1" s="1"/>
  <c r="F424" i="1" s="1"/>
  <c r="F421" i="1" s="1"/>
  <c r="H194" i="1"/>
  <c r="H191" i="1" s="1"/>
  <c r="H101" i="1"/>
  <c r="H329" i="1" s="1"/>
  <c r="H345" i="1" s="1"/>
  <c r="H424" i="1" s="1"/>
  <c r="H421" i="1" s="1"/>
  <c r="G194" i="1"/>
  <c r="G191" i="1" s="1"/>
  <c r="G101" i="1"/>
  <c r="G329" i="1" s="1"/>
  <c r="G345" i="1" s="1"/>
  <c r="G424" i="1" s="1"/>
  <c r="G421" i="1" s="1"/>
  <c r="I194" i="1"/>
  <c r="I191" i="1" s="1"/>
  <c r="I101" i="1"/>
  <c r="I329" i="1" s="1"/>
  <c r="I345" i="1" s="1"/>
  <c r="I424" i="1" s="1"/>
  <c r="I421" i="1" s="1"/>
  <c r="K194" i="1"/>
  <c r="K191" i="1" s="1"/>
  <c r="K101" i="1"/>
  <c r="K329" i="1" s="1"/>
  <c r="K345" i="1" s="1"/>
  <c r="K424" i="1" s="1"/>
  <c r="K421" i="1" s="1"/>
  <c r="J194" i="1"/>
  <c r="J191" i="1" s="1"/>
  <c r="J101" i="1"/>
  <c r="J329" i="1" s="1"/>
  <c r="J345" i="1" s="1"/>
  <c r="J424" i="1" s="1"/>
  <c r="J421" i="1" s="1"/>
  <c r="J538" i="1" l="1"/>
  <c r="F538" i="1"/>
  <c r="H538" i="1"/>
  <c r="K538" i="1"/>
  <c r="G538" i="1"/>
  <c r="I538" i="1"/>
  <c r="F537" i="1"/>
  <c r="F536" i="1"/>
  <c r="J536" i="1"/>
  <c r="G536" i="1"/>
  <c r="H536" i="1"/>
  <c r="I536" i="1"/>
  <c r="K536" i="1"/>
  <c r="G267" i="1"/>
  <c r="G256" i="1" s="1"/>
  <c r="G108" i="1" l="1"/>
  <c r="G336" i="1" s="1"/>
  <c r="G352" i="1" s="1"/>
  <c r="G497" i="1" s="1"/>
  <c r="G486" i="1" s="1"/>
  <c r="G106" i="1"/>
  <c r="G334" i="1" s="1"/>
  <c r="G350" i="1" s="1"/>
  <c r="G495" i="1" s="1"/>
  <c r="G484" i="1" s="1"/>
  <c r="G265" i="1"/>
  <c r="G254" i="1" s="1"/>
  <c r="K106" i="1"/>
  <c r="K334" i="1" s="1"/>
  <c r="K350" i="1" s="1"/>
  <c r="K495" i="1" s="1"/>
  <c r="K484" i="1" s="1"/>
  <c r="K265" i="1"/>
  <c r="K254" i="1" s="1"/>
  <c r="F107" i="1"/>
  <c r="F335" i="1" s="1"/>
  <c r="F351" i="1" s="1"/>
  <c r="F496" i="1" s="1"/>
  <c r="F485" i="1" s="1"/>
  <c r="F266" i="1"/>
  <c r="F255" i="1" s="1"/>
  <c r="F106" i="1"/>
  <c r="F334" i="1" s="1"/>
  <c r="F350" i="1" s="1"/>
  <c r="F495" i="1" s="1"/>
  <c r="F484" i="1" s="1"/>
  <c r="F265" i="1"/>
  <c r="F254" i="1" s="1"/>
  <c r="J108" i="1"/>
  <c r="J336" i="1" s="1"/>
  <c r="J352" i="1" s="1"/>
  <c r="J497" i="1" s="1"/>
  <c r="J486" i="1" s="1"/>
  <c r="J267" i="1"/>
  <c r="J256" i="1" s="1"/>
  <c r="J106" i="1"/>
  <c r="J334" i="1" s="1"/>
  <c r="J350" i="1" s="1"/>
  <c r="J495" i="1" s="1"/>
  <c r="J484" i="1" s="1"/>
  <c r="J265" i="1"/>
  <c r="J254" i="1" s="1"/>
  <c r="F108" i="1"/>
  <c r="F336" i="1" s="1"/>
  <c r="F352" i="1" s="1"/>
  <c r="F497" i="1" s="1"/>
  <c r="F486" i="1" s="1"/>
  <c r="F267" i="1"/>
  <c r="F256" i="1" s="1"/>
  <c r="I106" i="1"/>
  <c r="I334" i="1" s="1"/>
  <c r="I350" i="1" s="1"/>
  <c r="I495" i="1" s="1"/>
  <c r="I484" i="1" s="1"/>
  <c r="I265" i="1"/>
  <c r="I254" i="1" s="1"/>
  <c r="H108" i="1"/>
  <c r="H336" i="1" s="1"/>
  <c r="H352" i="1" s="1"/>
  <c r="H497" i="1" s="1"/>
  <c r="H486" i="1" s="1"/>
  <c r="H267" i="1"/>
  <c r="H256" i="1" s="1"/>
  <c r="H106" i="1"/>
  <c r="H334" i="1" s="1"/>
  <c r="H350" i="1" s="1"/>
  <c r="H495" i="1" s="1"/>
  <c r="H484" i="1" s="1"/>
  <c r="H265" i="1"/>
  <c r="H254" i="1" s="1"/>
  <c r="K108" i="1"/>
  <c r="K336" i="1" s="1"/>
  <c r="K352" i="1" s="1"/>
  <c r="K497" i="1" s="1"/>
  <c r="K486" i="1" s="1"/>
  <c r="K267" i="1"/>
  <c r="K256" i="1" s="1"/>
  <c r="I108" i="1"/>
  <c r="I336" i="1" s="1"/>
  <c r="I352" i="1" s="1"/>
  <c r="I497" i="1" s="1"/>
  <c r="I486" i="1" s="1"/>
  <c r="I267" i="1"/>
  <c r="I256" i="1" s="1"/>
  <c r="K549" i="1" l="1"/>
  <c r="J549" i="1"/>
  <c r="I549" i="1"/>
  <c r="H549" i="1"/>
  <c r="G549" i="1"/>
  <c r="F549" i="1"/>
  <c r="F367" i="1" l="1"/>
  <c r="G367" i="1"/>
  <c r="H367" i="1"/>
  <c r="I367" i="1"/>
  <c r="J367" i="1"/>
  <c r="K367" i="1"/>
  <c r="K430" i="1" l="1"/>
  <c r="K433" i="1" s="1"/>
  <c r="J545" i="1"/>
  <c r="I430" i="1"/>
  <c r="I433" i="1" s="1"/>
  <c r="H545" i="1"/>
  <c r="G430" i="1"/>
  <c r="G433" i="1" s="1"/>
  <c r="F545" i="1"/>
  <c r="I200" i="1"/>
  <c r="I203" i="1" s="1"/>
  <c r="J146" i="1"/>
  <c r="J374" i="1" s="1"/>
  <c r="I146" i="1"/>
  <c r="I374" i="1" s="1"/>
  <c r="H200" i="1"/>
  <c r="H203" i="1" s="1"/>
  <c r="H146" i="1"/>
  <c r="H374" i="1" s="1"/>
  <c r="G200" i="1"/>
  <c r="G203" i="1" s="1"/>
  <c r="G146" i="1"/>
  <c r="G374" i="1" s="1"/>
  <c r="F200" i="1"/>
  <c r="F203" i="1" s="1"/>
  <c r="F146" i="1"/>
  <c r="F374" i="1" s="1"/>
  <c r="K200" i="1"/>
  <c r="K203" i="1" s="1"/>
  <c r="K146" i="1"/>
  <c r="K374" i="1" s="1"/>
  <c r="J200" i="1"/>
  <c r="J203" i="1" s="1"/>
  <c r="K545" i="1" l="1"/>
  <c r="H430" i="1"/>
  <c r="H433" i="1" s="1"/>
  <c r="F430" i="1"/>
  <c r="F433" i="1" s="1"/>
  <c r="J430" i="1"/>
  <c r="J433" i="1" s="1"/>
  <c r="I545" i="1"/>
  <c r="G545" i="1"/>
  <c r="J425" i="1"/>
  <c r="H425" i="1"/>
  <c r="G425" i="1"/>
  <c r="K425" i="1"/>
  <c r="F425" i="1"/>
  <c r="I425" i="1"/>
  <c r="F434" i="1"/>
  <c r="K434" i="1"/>
  <c r="G434" i="1"/>
  <c r="I434" i="1"/>
  <c r="H434" i="1"/>
  <c r="J434" i="1"/>
  <c r="J544" i="1" l="1"/>
  <c r="K544" i="1"/>
  <c r="H544" i="1"/>
  <c r="H548" i="1"/>
  <c r="F548" i="1"/>
  <c r="G548" i="1"/>
  <c r="I548" i="1"/>
  <c r="K548" i="1"/>
  <c r="J548" i="1"/>
  <c r="G544" i="1"/>
  <c r="I544" i="1"/>
  <c r="F544" i="1"/>
  <c r="K145" i="1"/>
  <c r="K366" i="1"/>
  <c r="K429" i="1" s="1"/>
  <c r="J145" i="1"/>
  <c r="J366" i="1"/>
  <c r="J429" i="1" s="1"/>
  <c r="I199" i="1"/>
  <c r="I202" i="1" s="1"/>
  <c r="I201" i="1" s="1"/>
  <c r="I366" i="1"/>
  <c r="I429" i="1" s="1"/>
  <c r="H145" i="1"/>
  <c r="H366" i="1"/>
  <c r="H429" i="1" s="1"/>
  <c r="F199" i="1"/>
  <c r="F202" i="1" s="1"/>
  <c r="F201" i="1" s="1"/>
  <c r="F366" i="1"/>
  <c r="F429" i="1" s="1"/>
  <c r="G199" i="1"/>
  <c r="G198" i="1" s="1"/>
  <c r="G366" i="1"/>
  <c r="G429" i="1" s="1"/>
  <c r="G145" i="1"/>
  <c r="F145" i="1"/>
  <c r="K199" i="1"/>
  <c r="K202" i="1" s="1"/>
  <c r="K201" i="1" s="1"/>
  <c r="J199" i="1"/>
  <c r="J202" i="1" s="1"/>
  <c r="J201" i="1" s="1"/>
  <c r="I145" i="1"/>
  <c r="H199" i="1"/>
  <c r="H202" i="1" s="1"/>
  <c r="H201" i="1" s="1"/>
  <c r="F198" i="1" l="1"/>
  <c r="F428" i="1"/>
  <c r="F432" i="1"/>
  <c r="F431" i="1" s="1"/>
  <c r="H428" i="1"/>
  <c r="H432" i="1"/>
  <c r="H431" i="1" s="1"/>
  <c r="I428" i="1"/>
  <c r="I432" i="1"/>
  <c r="I431" i="1" s="1"/>
  <c r="K428" i="1"/>
  <c r="K432" i="1"/>
  <c r="K431" i="1" s="1"/>
  <c r="G428" i="1"/>
  <c r="G432" i="1"/>
  <c r="G431" i="1" s="1"/>
  <c r="J428" i="1"/>
  <c r="J432" i="1"/>
  <c r="J431" i="1" s="1"/>
  <c r="J373" i="1"/>
  <c r="H373" i="1"/>
  <c r="I198" i="1"/>
  <c r="F373" i="1"/>
  <c r="K198" i="1"/>
  <c r="G202" i="1"/>
  <c r="G201" i="1" s="1"/>
  <c r="G373" i="1"/>
  <c r="I373" i="1"/>
  <c r="J198" i="1"/>
  <c r="K373" i="1"/>
  <c r="H198" i="1"/>
  <c r="K564" i="1" l="1"/>
  <c r="F564" i="1"/>
  <c r="H564" i="1"/>
  <c r="J564" i="1"/>
  <c r="G564" i="1"/>
  <c r="I564" i="1"/>
  <c r="G541" i="1"/>
  <c r="J541" i="1"/>
  <c r="K541" i="1"/>
  <c r="F541" i="1"/>
  <c r="H541" i="1"/>
  <c r="I541" i="1"/>
  <c r="G534" i="1"/>
  <c r="K534" i="1"/>
  <c r="I534" i="1"/>
  <c r="H534" i="1"/>
  <c r="J534" i="1"/>
  <c r="F534" i="1"/>
  <c r="F263" i="1"/>
  <c r="F252" i="1" s="1"/>
  <c r="G263" i="1"/>
  <c r="G252" i="1" s="1"/>
  <c r="H263" i="1"/>
  <c r="H252" i="1" s="1"/>
  <c r="I263" i="1"/>
  <c r="I252" i="1" s="1"/>
  <c r="K263" i="1"/>
  <c r="K252" i="1" s="1"/>
  <c r="J263" i="1"/>
  <c r="J252" i="1" s="1"/>
  <c r="F516" i="1" l="1"/>
  <c r="K395" i="1"/>
  <c r="K516" i="1"/>
  <c r="G395" i="1"/>
  <c r="G516" i="1"/>
  <c r="J395" i="1"/>
  <c r="J516" i="1"/>
  <c r="H395" i="1"/>
  <c r="H516" i="1"/>
  <c r="I395" i="1"/>
  <c r="I516" i="1"/>
  <c r="G111" i="1"/>
  <c r="G339" i="1" s="1"/>
  <c r="G355" i="1" s="1"/>
  <c r="G500" i="1" s="1"/>
  <c r="G489" i="1" s="1"/>
  <c r="G270" i="1"/>
  <c r="G259" i="1" s="1"/>
  <c r="I111" i="1"/>
  <c r="I339" i="1" s="1"/>
  <c r="I355" i="1" s="1"/>
  <c r="I500" i="1" s="1"/>
  <c r="I489" i="1" s="1"/>
  <c r="I270" i="1"/>
  <c r="I259" i="1" s="1"/>
  <c r="F111" i="1"/>
  <c r="F339" i="1" s="1"/>
  <c r="F355" i="1" s="1"/>
  <c r="F500" i="1" s="1"/>
  <c r="F489" i="1" s="1"/>
  <c r="F270" i="1"/>
  <c r="F259" i="1" s="1"/>
  <c r="K111" i="1"/>
  <c r="K339" i="1" s="1"/>
  <c r="K355" i="1" s="1"/>
  <c r="K500" i="1" s="1"/>
  <c r="K489" i="1" s="1"/>
  <c r="K270" i="1"/>
  <c r="K259" i="1" s="1"/>
  <c r="J111" i="1"/>
  <c r="J339" i="1" s="1"/>
  <c r="J355" i="1" s="1"/>
  <c r="J500" i="1" s="1"/>
  <c r="J489" i="1" s="1"/>
  <c r="J270" i="1"/>
  <c r="J259" i="1" s="1"/>
  <c r="H111" i="1"/>
  <c r="H339" i="1" s="1"/>
  <c r="H355" i="1" s="1"/>
  <c r="H500" i="1" s="1"/>
  <c r="H489" i="1" s="1"/>
  <c r="H270" i="1"/>
  <c r="H259" i="1" s="1"/>
  <c r="I104" i="1"/>
  <c r="I332" i="1" s="1"/>
  <c r="I348" i="1" s="1"/>
  <c r="I493" i="1" s="1"/>
  <c r="I482" i="1" s="1"/>
  <c r="G104" i="1"/>
  <c r="G332" i="1" s="1"/>
  <c r="G348" i="1" s="1"/>
  <c r="G493" i="1" s="1"/>
  <c r="G482" i="1" s="1"/>
  <c r="H104" i="1"/>
  <c r="H332" i="1" s="1"/>
  <c r="H348" i="1" s="1"/>
  <c r="H493" i="1" s="1"/>
  <c r="H482" i="1" s="1"/>
  <c r="J104" i="1"/>
  <c r="J332" i="1" s="1"/>
  <c r="J348" i="1" s="1"/>
  <c r="J493" i="1" s="1"/>
  <c r="J482" i="1" s="1"/>
  <c r="K104" i="1"/>
  <c r="K332" i="1" s="1"/>
  <c r="K348" i="1" s="1"/>
  <c r="K493" i="1" s="1"/>
  <c r="K482" i="1" s="1"/>
  <c r="F104" i="1"/>
  <c r="F332" i="1" s="1"/>
  <c r="F348" i="1" s="1"/>
  <c r="F493" i="1" s="1"/>
  <c r="F482" i="1" s="1"/>
  <c r="F563" i="1" l="1"/>
  <c r="H563" i="1"/>
  <c r="K563" i="1"/>
  <c r="J563" i="1"/>
  <c r="G563" i="1"/>
  <c r="I563" i="1"/>
  <c r="I365" i="1" l="1"/>
  <c r="I543" i="1"/>
  <c r="F365" i="1"/>
  <c r="F543" i="1"/>
  <c r="H144" i="1"/>
  <c r="H543" i="1"/>
  <c r="J365" i="1"/>
  <c r="J543" i="1"/>
  <c r="G144" i="1"/>
  <c r="G543" i="1"/>
  <c r="K144" i="1"/>
  <c r="K543" i="1"/>
  <c r="F547" i="1"/>
  <c r="F147" i="1"/>
  <c r="K147" i="1"/>
  <c r="J147" i="1"/>
  <c r="I147" i="1"/>
  <c r="H147" i="1"/>
  <c r="G147" i="1"/>
  <c r="K542" i="1"/>
  <c r="J542" i="1"/>
  <c r="I542" i="1"/>
  <c r="H542" i="1"/>
  <c r="G542" i="1"/>
  <c r="F542" i="1"/>
  <c r="I144" i="1" l="1"/>
  <c r="I372" i="1" s="1"/>
  <c r="H365" i="1"/>
  <c r="H372" i="1" s="1"/>
  <c r="F144" i="1"/>
  <c r="F372" i="1" s="1"/>
  <c r="J144" i="1"/>
  <c r="J372" i="1" s="1"/>
  <c r="G365" i="1"/>
  <c r="G372" i="1" s="1"/>
  <c r="K365" i="1"/>
  <c r="K372" i="1" s="1"/>
  <c r="G148" i="1"/>
  <c r="G547" i="1"/>
  <c r="I148" i="1"/>
  <c r="I547" i="1"/>
  <c r="F148" i="1"/>
  <c r="K148" i="1"/>
  <c r="K547" i="1"/>
  <c r="H148" i="1"/>
  <c r="H547" i="1"/>
  <c r="J148" i="1"/>
  <c r="J547" i="1"/>
  <c r="F128" i="1"/>
  <c r="G128" i="1"/>
  <c r="H128" i="1"/>
  <c r="I128" i="1"/>
  <c r="J128" i="1"/>
  <c r="K128" i="1"/>
  <c r="J376" i="1" l="1"/>
  <c r="J369" i="1"/>
  <c r="H376" i="1"/>
  <c r="H369" i="1"/>
  <c r="K376" i="1"/>
  <c r="K369" i="1"/>
  <c r="F376" i="1"/>
  <c r="F369" i="1"/>
  <c r="I376" i="1"/>
  <c r="I369" i="1"/>
  <c r="G376" i="1"/>
  <c r="G369" i="1"/>
  <c r="K135" i="1"/>
  <c r="K364" i="1"/>
  <c r="J135" i="1"/>
  <c r="J364" i="1"/>
  <c r="I135" i="1"/>
  <c r="I364" i="1"/>
  <c r="H135" i="1"/>
  <c r="H364" i="1"/>
  <c r="G135" i="1"/>
  <c r="G364" i="1"/>
  <c r="F135" i="1"/>
  <c r="F364" i="1"/>
  <c r="K143" i="1"/>
  <c r="K142" i="1" s="1"/>
  <c r="J143" i="1"/>
  <c r="J142" i="1" s="1"/>
  <c r="I143" i="1"/>
  <c r="I142" i="1" s="1"/>
  <c r="H143" i="1"/>
  <c r="H142" i="1" s="1"/>
  <c r="G143" i="1"/>
  <c r="G142" i="1" s="1"/>
  <c r="F143" i="1"/>
  <c r="F142" i="1" s="1"/>
  <c r="G363" i="1" l="1"/>
  <c r="G371" i="1"/>
  <c r="I371" i="1"/>
  <c r="I363" i="1"/>
  <c r="K371" i="1"/>
  <c r="K363" i="1"/>
  <c r="F363" i="1"/>
  <c r="F371" i="1"/>
  <c r="H371" i="1"/>
  <c r="H363" i="1"/>
  <c r="J371" i="1"/>
  <c r="J363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566" i="1"/>
  <c r="J566" i="1"/>
  <c r="I566" i="1"/>
  <c r="H566" i="1"/>
  <c r="G566" i="1"/>
  <c r="K565" i="1"/>
  <c r="J565" i="1"/>
  <c r="I565" i="1"/>
  <c r="H565" i="1"/>
  <c r="G565" i="1"/>
  <c r="K157" i="1"/>
  <c r="J157" i="1"/>
  <c r="I157" i="1"/>
  <c r="H157" i="1"/>
  <c r="G157" i="1"/>
  <c r="J529" i="1"/>
  <c r="I529" i="1"/>
  <c r="H529" i="1"/>
  <c r="G529" i="1"/>
  <c r="K528" i="1"/>
  <c r="J528" i="1"/>
  <c r="I528" i="1"/>
  <c r="H528" i="1"/>
  <c r="G528" i="1"/>
  <c r="K527" i="1"/>
  <c r="J527" i="1"/>
  <c r="I527" i="1"/>
  <c r="H527" i="1"/>
  <c r="G527" i="1"/>
  <c r="K522" i="1"/>
  <c r="J522" i="1"/>
  <c r="I522" i="1"/>
  <c r="H522" i="1"/>
  <c r="G522" i="1"/>
  <c r="K521" i="1"/>
  <c r="J521" i="1"/>
  <c r="I521" i="1"/>
  <c r="H521" i="1"/>
  <c r="G521" i="1"/>
  <c r="F157" i="1"/>
  <c r="F523" i="1"/>
  <c r="F522" i="1"/>
  <c r="F521" i="1"/>
  <c r="K554" i="1" l="1"/>
  <c r="I554" i="1"/>
  <c r="G554" i="1"/>
  <c r="H554" i="1"/>
  <c r="J554" i="1"/>
  <c r="I553" i="1"/>
  <c r="G553" i="1"/>
  <c r="J553" i="1"/>
  <c r="H553" i="1"/>
  <c r="K553" i="1"/>
  <c r="I540" i="1"/>
  <c r="G540" i="1"/>
  <c r="H540" i="1"/>
  <c r="K540" i="1"/>
  <c r="J540" i="1"/>
  <c r="K498" i="1"/>
  <c r="J498" i="1"/>
  <c r="I498" i="1"/>
  <c r="G498" i="1"/>
  <c r="H498" i="1"/>
  <c r="G537" i="1"/>
  <c r="I537" i="1"/>
  <c r="K537" i="1"/>
  <c r="H537" i="1"/>
  <c r="J537" i="1"/>
  <c r="J535" i="1"/>
  <c r="I535" i="1"/>
  <c r="K535" i="1"/>
  <c r="G535" i="1"/>
  <c r="H535" i="1"/>
  <c r="J62" i="1"/>
  <c r="J520" i="1"/>
  <c r="G62" i="1"/>
  <c r="G520" i="1"/>
  <c r="I62" i="1"/>
  <c r="I520" i="1"/>
  <c r="H62" i="1"/>
  <c r="H520" i="1"/>
  <c r="I377" i="1"/>
  <c r="H377" i="1"/>
  <c r="J377" i="1"/>
  <c r="G377" i="1"/>
  <c r="K377" i="1"/>
  <c r="G167" i="1"/>
  <c r="G166" i="1"/>
  <c r="G561" i="1" s="1"/>
  <c r="I167" i="1"/>
  <c r="I166" i="1"/>
  <c r="I561" i="1" s="1"/>
  <c r="H167" i="1"/>
  <c r="H166" i="1"/>
  <c r="H561" i="1" s="1"/>
  <c r="J167" i="1"/>
  <c r="J166" i="1"/>
  <c r="J561" i="1" s="1"/>
  <c r="K167" i="1"/>
  <c r="K166" i="1"/>
  <c r="K561" i="1" s="1"/>
  <c r="H98" i="1"/>
  <c r="H326" i="1" s="1"/>
  <c r="H342" i="1" s="1"/>
  <c r="J98" i="1"/>
  <c r="J326" i="1" s="1"/>
  <c r="J342" i="1" s="1"/>
  <c r="G98" i="1"/>
  <c r="G326" i="1" s="1"/>
  <c r="G342" i="1" s="1"/>
  <c r="H99" i="1"/>
  <c r="H327" i="1" s="1"/>
  <c r="H343" i="1" s="1"/>
  <c r="G125" i="1"/>
  <c r="G268" i="1" s="1"/>
  <c r="G257" i="1" s="1"/>
  <c r="I98" i="1"/>
  <c r="I326" i="1" s="1"/>
  <c r="I342" i="1" s="1"/>
  <c r="K98" i="1"/>
  <c r="K326" i="1" s="1"/>
  <c r="K342" i="1" s="1"/>
  <c r="G99" i="1"/>
  <c r="G327" i="1" s="1"/>
  <c r="G343" i="1" s="1"/>
  <c r="H125" i="1"/>
  <c r="I99" i="1"/>
  <c r="I327" i="1" s="1"/>
  <c r="I343" i="1" s="1"/>
  <c r="I100" i="1"/>
  <c r="I125" i="1"/>
  <c r="J99" i="1"/>
  <c r="J327" i="1" s="1"/>
  <c r="J343" i="1" s="1"/>
  <c r="J100" i="1"/>
  <c r="J125" i="1"/>
  <c r="G100" i="1"/>
  <c r="H100" i="1"/>
  <c r="K100" i="1"/>
  <c r="K125" i="1"/>
  <c r="H72" i="1"/>
  <c r="I72" i="1"/>
  <c r="G72" i="1"/>
  <c r="K72" i="1"/>
  <c r="G149" i="1"/>
  <c r="I171" i="1"/>
  <c r="F64" i="1"/>
  <c r="H97" i="1"/>
  <c r="H325" i="1" s="1"/>
  <c r="H341" i="1" s="1"/>
  <c r="H149" i="1"/>
  <c r="G97" i="1"/>
  <c r="G325" i="1" s="1"/>
  <c r="G341" i="1" s="1"/>
  <c r="I97" i="1"/>
  <c r="I325" i="1" s="1"/>
  <c r="I341" i="1" s="1"/>
  <c r="I149" i="1"/>
  <c r="J72" i="1"/>
  <c r="J97" i="1"/>
  <c r="J325" i="1" s="1"/>
  <c r="J341" i="1" s="1"/>
  <c r="J149" i="1"/>
  <c r="K97" i="1"/>
  <c r="K325" i="1" s="1"/>
  <c r="K341" i="1" s="1"/>
  <c r="K149" i="1"/>
  <c r="G159" i="1"/>
  <c r="G171" i="1"/>
  <c r="F159" i="1"/>
  <c r="H159" i="1"/>
  <c r="H171" i="1"/>
  <c r="I159" i="1"/>
  <c r="J159" i="1"/>
  <c r="J171" i="1"/>
  <c r="K159" i="1"/>
  <c r="K171" i="1"/>
  <c r="K529" i="1"/>
  <c r="F12" i="1"/>
  <c r="F1746" i="1" s="1"/>
  <c r="F1706" i="1" s="1"/>
  <c r="K575" i="1"/>
  <c r="J575" i="1"/>
  <c r="I575" i="1"/>
  <c r="H575" i="1"/>
  <c r="G575" i="1"/>
  <c r="F575" i="1"/>
  <c r="K213" i="1"/>
  <c r="J213" i="1"/>
  <c r="I213" i="1"/>
  <c r="G213" i="1"/>
  <c r="F213" i="1"/>
  <c r="K186" i="1"/>
  <c r="J186" i="1"/>
  <c r="I186" i="1"/>
  <c r="H186" i="1"/>
  <c r="G186" i="1"/>
  <c r="F186" i="1"/>
  <c r="F571" i="1"/>
  <c r="F570" i="1"/>
  <c r="F569" i="1"/>
  <c r="F568" i="1"/>
  <c r="F567" i="1"/>
  <c r="F566" i="1"/>
  <c r="F565" i="1"/>
  <c r="F529" i="1"/>
  <c r="F528" i="1"/>
  <c r="F527" i="1"/>
  <c r="H573" i="1" l="1"/>
  <c r="H213" i="1"/>
  <c r="K795" i="1"/>
  <c r="F791" i="1"/>
  <c r="G791" i="1"/>
  <c r="J791" i="1"/>
  <c r="F375" i="1"/>
  <c r="F370" i="1" s="1"/>
  <c r="F795" i="1"/>
  <c r="H791" i="1"/>
  <c r="K791" i="1"/>
  <c r="G508" i="1"/>
  <c r="G507" i="1" s="1"/>
  <c r="G795" i="1"/>
  <c r="H501" i="1"/>
  <c r="H795" i="1"/>
  <c r="I791" i="1"/>
  <c r="I795" i="1"/>
  <c r="J508" i="1"/>
  <c r="J507" i="1" s="1"/>
  <c r="J795" i="1"/>
  <c r="G539" i="1"/>
  <c r="F215" i="1"/>
  <c r="F574" i="1"/>
  <c r="J510" i="1"/>
  <c r="I510" i="1"/>
  <c r="H510" i="1"/>
  <c r="F554" i="1"/>
  <c r="K510" i="1"/>
  <c r="G510" i="1"/>
  <c r="F553" i="1"/>
  <c r="I552" i="1"/>
  <c r="J552" i="1"/>
  <c r="K552" i="1"/>
  <c r="F510" i="1"/>
  <c r="H552" i="1"/>
  <c r="G552" i="1"/>
  <c r="K501" i="1"/>
  <c r="J539" i="1"/>
  <c r="K539" i="1"/>
  <c r="H539" i="1"/>
  <c r="I539" i="1"/>
  <c r="F540" i="1"/>
  <c r="F498" i="1"/>
  <c r="F535" i="1"/>
  <c r="K533" i="1"/>
  <c r="I533" i="1"/>
  <c r="K532" i="1"/>
  <c r="J533" i="1"/>
  <c r="I468" i="1"/>
  <c r="H532" i="1"/>
  <c r="G533" i="1"/>
  <c r="H533" i="1"/>
  <c r="I64" i="1"/>
  <c r="I523" i="1"/>
  <c r="F62" i="1"/>
  <c r="F520" i="1"/>
  <c r="J64" i="1"/>
  <c r="J523" i="1"/>
  <c r="K62" i="1"/>
  <c r="K520" i="1"/>
  <c r="K64" i="1"/>
  <c r="K523" i="1"/>
  <c r="H64" i="1"/>
  <c r="H523" i="1"/>
  <c r="G64" i="1"/>
  <c r="G523" i="1"/>
  <c r="F377" i="1"/>
  <c r="J232" i="1"/>
  <c r="K232" i="1"/>
  <c r="G232" i="1"/>
  <c r="H232" i="1"/>
  <c r="F182" i="1"/>
  <c r="I232" i="1"/>
  <c r="F232" i="1"/>
  <c r="G109" i="1"/>
  <c r="K356" i="1"/>
  <c r="K368" i="1"/>
  <c r="K375" i="1"/>
  <c r="K370" i="1" s="1"/>
  <c r="F368" i="1"/>
  <c r="J356" i="1"/>
  <c r="J368" i="1"/>
  <c r="J375" i="1"/>
  <c r="J370" i="1" s="1"/>
  <c r="F278" i="1"/>
  <c r="F277" i="1" s="1"/>
  <c r="F271" i="1"/>
  <c r="H278" i="1"/>
  <c r="H277" i="1" s="1"/>
  <c r="H271" i="1"/>
  <c r="I278" i="1"/>
  <c r="I277" i="1" s="1"/>
  <c r="I271" i="1"/>
  <c r="J278" i="1"/>
  <c r="J277" i="1" s="1"/>
  <c r="J271" i="1"/>
  <c r="K278" i="1"/>
  <c r="K277" i="1" s="1"/>
  <c r="K271" i="1"/>
  <c r="G278" i="1"/>
  <c r="G277" i="1" s="1"/>
  <c r="G271" i="1"/>
  <c r="K110" i="1"/>
  <c r="K269" i="1"/>
  <c r="K258" i="1" s="1"/>
  <c r="I110" i="1"/>
  <c r="I269" i="1"/>
  <c r="I258" i="1" s="1"/>
  <c r="I109" i="1"/>
  <c r="I268" i="1"/>
  <c r="I257" i="1" s="1"/>
  <c r="H110" i="1"/>
  <c r="H269" i="1"/>
  <c r="H258" i="1" s="1"/>
  <c r="G110" i="1"/>
  <c r="G269" i="1"/>
  <c r="G258" i="1" s="1"/>
  <c r="H109" i="1"/>
  <c r="H268" i="1"/>
  <c r="H257" i="1" s="1"/>
  <c r="J110" i="1"/>
  <c r="J269" i="1"/>
  <c r="J258" i="1" s="1"/>
  <c r="K109" i="1"/>
  <c r="K268" i="1"/>
  <c r="K257" i="1" s="1"/>
  <c r="J109" i="1"/>
  <c r="J268" i="1"/>
  <c r="J257" i="1" s="1"/>
  <c r="K107" i="1"/>
  <c r="K335" i="1" s="1"/>
  <c r="K351" i="1" s="1"/>
  <c r="K496" i="1" s="1"/>
  <c r="K485" i="1" s="1"/>
  <c r="K266" i="1"/>
  <c r="K255" i="1" s="1"/>
  <c r="I107" i="1"/>
  <c r="I335" i="1" s="1"/>
  <c r="I351" i="1" s="1"/>
  <c r="I496" i="1" s="1"/>
  <c r="I485" i="1" s="1"/>
  <c r="I266" i="1"/>
  <c r="I255" i="1" s="1"/>
  <c r="I105" i="1"/>
  <c r="I333" i="1" s="1"/>
  <c r="I349" i="1" s="1"/>
  <c r="I494" i="1" s="1"/>
  <c r="I483" i="1" s="1"/>
  <c r="I264" i="1"/>
  <c r="I253" i="1" s="1"/>
  <c r="G107" i="1"/>
  <c r="G335" i="1" s="1"/>
  <c r="G351" i="1" s="1"/>
  <c r="G496" i="1" s="1"/>
  <c r="G485" i="1" s="1"/>
  <c r="G266" i="1"/>
  <c r="G255" i="1" s="1"/>
  <c r="J107" i="1"/>
  <c r="J335" i="1" s="1"/>
  <c r="J351" i="1" s="1"/>
  <c r="J496" i="1" s="1"/>
  <c r="J485" i="1" s="1"/>
  <c r="J266" i="1"/>
  <c r="J255" i="1" s="1"/>
  <c r="H107" i="1"/>
  <c r="H335" i="1" s="1"/>
  <c r="H351" i="1" s="1"/>
  <c r="H496" i="1" s="1"/>
  <c r="H485" i="1" s="1"/>
  <c r="H266" i="1"/>
  <c r="H255" i="1" s="1"/>
  <c r="H105" i="1"/>
  <c r="H333" i="1" s="1"/>
  <c r="H349" i="1" s="1"/>
  <c r="H494" i="1" s="1"/>
  <c r="H483" i="1" s="1"/>
  <c r="H264" i="1"/>
  <c r="H253" i="1" s="1"/>
  <c r="J105" i="1"/>
  <c r="J333" i="1" s="1"/>
  <c r="J349" i="1" s="1"/>
  <c r="J494" i="1" s="1"/>
  <c r="J483" i="1" s="1"/>
  <c r="J264" i="1"/>
  <c r="J253" i="1" s="1"/>
  <c r="K105" i="1"/>
  <c r="K333" i="1" s="1"/>
  <c r="K349" i="1" s="1"/>
  <c r="K494" i="1" s="1"/>
  <c r="K483" i="1" s="1"/>
  <c r="K264" i="1"/>
  <c r="K253" i="1" s="1"/>
  <c r="G105" i="1"/>
  <c r="G333" i="1" s="1"/>
  <c r="G349" i="1" s="1"/>
  <c r="G494" i="1" s="1"/>
  <c r="G483" i="1" s="1"/>
  <c r="G264" i="1"/>
  <c r="G253" i="1" s="1"/>
  <c r="H220" i="1"/>
  <c r="H219" i="1" s="1"/>
  <c r="H217" i="1"/>
  <c r="K220" i="1"/>
  <c r="K219" i="1" s="1"/>
  <c r="K217" i="1"/>
  <c r="I220" i="1"/>
  <c r="I219" i="1" s="1"/>
  <c r="I217" i="1"/>
  <c r="J220" i="1"/>
  <c r="J219" i="1" s="1"/>
  <c r="J217" i="1"/>
  <c r="G220" i="1"/>
  <c r="G219" i="1" s="1"/>
  <c r="G217" i="1"/>
  <c r="F220" i="1"/>
  <c r="F219" i="1" s="1"/>
  <c r="F217" i="1"/>
  <c r="H212" i="1"/>
  <c r="H211" i="1" s="1"/>
  <c r="H209" i="1"/>
  <c r="G237" i="1"/>
  <c r="H237" i="1"/>
  <c r="I237" i="1"/>
  <c r="J237" i="1"/>
  <c r="K237" i="1"/>
  <c r="I193" i="1"/>
  <c r="K193" i="1"/>
  <c r="G193" i="1"/>
  <c r="H193" i="1"/>
  <c r="F167" i="1"/>
  <c r="F166" i="1"/>
  <c r="F561" i="1" s="1"/>
  <c r="G261" i="1"/>
  <c r="K261" i="1"/>
  <c r="J262" i="1"/>
  <c r="J251" i="1" s="1"/>
  <c r="I262" i="1"/>
  <c r="I251" i="1" s="1"/>
  <c r="F98" i="1"/>
  <c r="F326" i="1" s="1"/>
  <c r="F342" i="1" s="1"/>
  <c r="I261" i="1"/>
  <c r="G262" i="1"/>
  <c r="G251" i="1" s="1"/>
  <c r="K262" i="1"/>
  <c r="K251" i="1" s="1"/>
  <c r="F99" i="1"/>
  <c r="F327" i="1" s="1"/>
  <c r="F343" i="1" s="1"/>
  <c r="J193" i="1"/>
  <c r="F72" i="1"/>
  <c r="F193" i="1"/>
  <c r="H262" i="1"/>
  <c r="H251" i="1" s="1"/>
  <c r="F125" i="1"/>
  <c r="J261" i="1"/>
  <c r="H261" i="1"/>
  <c r="K99" i="1"/>
  <c r="K327" i="1" s="1"/>
  <c r="K343" i="1" s="1"/>
  <c r="F573" i="1"/>
  <c r="J573" i="1"/>
  <c r="F181" i="1"/>
  <c r="F237" i="1"/>
  <c r="F236" i="1" s="1"/>
  <c r="G181" i="1"/>
  <c r="I181" i="1"/>
  <c r="K181" i="1"/>
  <c r="F185" i="1"/>
  <c r="F184" i="1" s="1"/>
  <c r="H181" i="1"/>
  <c r="I185" i="1"/>
  <c r="I184" i="1" s="1"/>
  <c r="J181" i="1"/>
  <c r="I80" i="1"/>
  <c r="F97" i="1"/>
  <c r="F325" i="1" s="1"/>
  <c r="F341" i="1" s="1"/>
  <c r="F171" i="1"/>
  <c r="H185" i="1"/>
  <c r="H184" i="1" s="1"/>
  <c r="G80" i="1"/>
  <c r="I573" i="1"/>
  <c r="F149" i="1"/>
  <c r="G573" i="1"/>
  <c r="K185" i="1"/>
  <c r="K184" i="1" s="1"/>
  <c r="G185" i="1"/>
  <c r="G184" i="1" s="1"/>
  <c r="H80" i="1"/>
  <c r="K80" i="1"/>
  <c r="K573" i="1"/>
  <c r="J185" i="1"/>
  <c r="J184" i="1" s="1"/>
  <c r="J80" i="1"/>
  <c r="I12" i="1"/>
  <c r="I1746" i="1" s="1"/>
  <c r="I1706" i="1" s="1"/>
  <c r="J12" i="1"/>
  <c r="J1746" i="1" s="1"/>
  <c r="J1706" i="1" s="1"/>
  <c r="K12" i="1"/>
  <c r="K1746" i="1" s="1"/>
  <c r="K1706" i="1" s="1"/>
  <c r="G12" i="1"/>
  <c r="G1746" i="1" s="1"/>
  <c r="G1706" i="1" s="1"/>
  <c r="H12" i="1"/>
  <c r="H1746" i="1" s="1"/>
  <c r="H1706" i="1" s="1"/>
  <c r="I368" i="1" l="1"/>
  <c r="J468" i="1"/>
  <c r="I375" i="1"/>
  <c r="I370" i="1" s="1"/>
  <c r="I356" i="1"/>
  <c r="I338" i="1"/>
  <c r="I354" i="1" s="1"/>
  <c r="I499" i="1" s="1"/>
  <c r="I488" i="1" s="1"/>
  <c r="H338" i="1"/>
  <c r="H354" i="1" s="1"/>
  <c r="H499" i="1" s="1"/>
  <c r="H488" i="1" s="1"/>
  <c r="K338" i="1"/>
  <c r="K354" i="1" s="1"/>
  <c r="K499" i="1" s="1"/>
  <c r="K488" i="1" s="1"/>
  <c r="J337" i="1"/>
  <c r="J353" i="1" s="1"/>
  <c r="K337" i="1"/>
  <c r="K353" i="1" s="1"/>
  <c r="J338" i="1"/>
  <c r="J354" i="1" s="1"/>
  <c r="J499" i="1" s="1"/>
  <c r="J488" i="1" s="1"/>
  <c r="G337" i="1"/>
  <c r="G353" i="1" s="1"/>
  <c r="I337" i="1"/>
  <c r="I353" i="1" s="1"/>
  <c r="H337" i="1"/>
  <c r="H353" i="1" s="1"/>
  <c r="G338" i="1"/>
  <c r="G354" i="1" s="1"/>
  <c r="G499" i="1" s="1"/>
  <c r="G488" i="1" s="1"/>
  <c r="F356" i="1"/>
  <c r="I546" i="1"/>
  <c r="I501" i="1"/>
  <c r="I235" i="1"/>
  <c r="I234" i="1" s="1"/>
  <c r="I236" i="1"/>
  <c r="J235" i="1"/>
  <c r="J234" i="1" s="1"/>
  <c r="J236" i="1"/>
  <c r="G235" i="1"/>
  <c r="G234" i="1" s="1"/>
  <c r="G236" i="1"/>
  <c r="H235" i="1"/>
  <c r="H234" i="1" s="1"/>
  <c r="H236" i="1"/>
  <c r="K235" i="1"/>
  <c r="K234" i="1" s="1"/>
  <c r="K236" i="1"/>
  <c r="K190" i="1"/>
  <c r="K189" i="1" s="1"/>
  <c r="K192" i="1"/>
  <c r="F190" i="1"/>
  <c r="F189" i="1" s="1"/>
  <c r="F192" i="1"/>
  <c r="I190" i="1"/>
  <c r="I189" i="1" s="1"/>
  <c r="I192" i="1"/>
  <c r="J190" i="1"/>
  <c r="J189" i="1" s="1"/>
  <c r="J192" i="1"/>
  <c r="G190" i="1"/>
  <c r="G189" i="1" s="1"/>
  <c r="G192" i="1"/>
  <c r="H190" i="1"/>
  <c r="H189" i="1" s="1"/>
  <c r="H192" i="1"/>
  <c r="K790" i="1"/>
  <c r="K832" i="1" s="1"/>
  <c r="K865" i="1" s="1"/>
  <c r="J790" i="1"/>
  <c r="J832" i="1" s="1"/>
  <c r="J865" i="1" s="1"/>
  <c r="I790" i="1"/>
  <c r="I832" i="1" s="1"/>
  <c r="I865" i="1" s="1"/>
  <c r="H368" i="1"/>
  <c r="H790" i="1"/>
  <c r="H375" i="1"/>
  <c r="H370" i="1" s="1"/>
  <c r="G375" i="1"/>
  <c r="G370" i="1" s="1"/>
  <c r="F508" i="1"/>
  <c r="F507" i="1" s="1"/>
  <c r="G368" i="1"/>
  <c r="G790" i="1"/>
  <c r="G832" i="1" s="1"/>
  <c r="G865" i="1" s="1"/>
  <c r="G356" i="1"/>
  <c r="H356" i="1"/>
  <c r="G215" i="1"/>
  <c r="G574" i="1"/>
  <c r="J225" i="1"/>
  <c r="J577" i="1"/>
  <c r="K225" i="1"/>
  <c r="K577" i="1"/>
  <c r="G225" i="1"/>
  <c r="G577" i="1"/>
  <c r="F552" i="1"/>
  <c r="J215" i="1"/>
  <c r="J574" i="1"/>
  <c r="H225" i="1"/>
  <c r="H577" i="1"/>
  <c r="K215" i="1"/>
  <c r="K574" i="1"/>
  <c r="F225" i="1"/>
  <c r="F577" i="1"/>
  <c r="I215" i="1"/>
  <c r="I574" i="1"/>
  <c r="I225" i="1"/>
  <c r="I577" i="1"/>
  <c r="H215" i="1"/>
  <c r="H574" i="1"/>
  <c r="H546" i="1"/>
  <c r="H508" i="1"/>
  <c r="H507" i="1" s="1"/>
  <c r="J546" i="1"/>
  <c r="F539" i="1"/>
  <c r="G501" i="1"/>
  <c r="G546" i="1"/>
  <c r="J501" i="1"/>
  <c r="I508" i="1"/>
  <c r="I507" i="1" s="1"/>
  <c r="G468" i="1"/>
  <c r="K508" i="1"/>
  <c r="K507" i="1" s="1"/>
  <c r="G231" i="1"/>
  <c r="K546" i="1"/>
  <c r="I532" i="1"/>
  <c r="J61" i="1"/>
  <c r="G61" i="1"/>
  <c r="K468" i="1"/>
  <c r="G532" i="1"/>
  <c r="H468" i="1"/>
  <c r="I61" i="1"/>
  <c r="J532" i="1"/>
  <c r="K61" i="1"/>
  <c r="F533" i="1"/>
  <c r="H530" i="1"/>
  <c r="F416" i="1"/>
  <c r="J416" i="1"/>
  <c r="J409" i="1" s="1"/>
  <c r="J408" i="1" s="1"/>
  <c r="I416" i="1"/>
  <c r="I409" i="1" s="1"/>
  <c r="I408" i="1" s="1"/>
  <c r="K231" i="1"/>
  <c r="H61" i="1"/>
  <c r="J231" i="1"/>
  <c r="F303" i="1"/>
  <c r="H303" i="1"/>
  <c r="H296" i="1"/>
  <c r="I303" i="1"/>
  <c r="I296" i="1"/>
  <c r="G303" i="1"/>
  <c r="G296" i="1"/>
  <c r="I231" i="1"/>
  <c r="K303" i="1"/>
  <c r="K296" i="1"/>
  <c r="F415" i="1"/>
  <c r="F302" i="1"/>
  <c r="F296" i="1"/>
  <c r="H231" i="1"/>
  <c r="J303" i="1"/>
  <c r="J296" i="1"/>
  <c r="K328" i="1"/>
  <c r="K344" i="1" s="1"/>
  <c r="K530" i="1"/>
  <c r="G328" i="1"/>
  <c r="G344" i="1" s="1"/>
  <c r="G530" i="1"/>
  <c r="H308" i="1"/>
  <c r="G308" i="1"/>
  <c r="J308" i="1"/>
  <c r="I308" i="1"/>
  <c r="I328" i="1"/>
  <c r="I344" i="1" s="1"/>
  <c r="K308" i="1"/>
  <c r="H328" i="1"/>
  <c r="H344" i="1" s="1"/>
  <c r="J328" i="1"/>
  <c r="J344" i="1" s="1"/>
  <c r="J250" i="1"/>
  <c r="J249" i="1" s="1"/>
  <c r="J260" i="1"/>
  <c r="I250" i="1"/>
  <c r="I249" i="1" s="1"/>
  <c r="I260" i="1"/>
  <c r="K250" i="1"/>
  <c r="K249" i="1" s="1"/>
  <c r="K260" i="1"/>
  <c r="F110" i="1"/>
  <c r="F269" i="1"/>
  <c r="F258" i="1" s="1"/>
  <c r="G250" i="1"/>
  <c r="G249" i="1" s="1"/>
  <c r="G260" i="1"/>
  <c r="F109" i="1"/>
  <c r="F268" i="1"/>
  <c r="F257" i="1" s="1"/>
  <c r="H250" i="1"/>
  <c r="H249" i="1" s="1"/>
  <c r="H260" i="1"/>
  <c r="J102" i="1"/>
  <c r="J330" i="1" s="1"/>
  <c r="J346" i="1" s="1"/>
  <c r="J491" i="1" s="1"/>
  <c r="F105" i="1"/>
  <c r="F333" i="1" s="1"/>
  <c r="F349" i="1" s="1"/>
  <c r="F494" i="1" s="1"/>
  <c r="F483" i="1" s="1"/>
  <c r="F264" i="1"/>
  <c r="F253" i="1" s="1"/>
  <c r="J212" i="1"/>
  <c r="J211" i="1" s="1"/>
  <c r="J209" i="1"/>
  <c r="F212" i="1"/>
  <c r="F211" i="1" s="1"/>
  <c r="F209" i="1"/>
  <c r="I212" i="1"/>
  <c r="I211" i="1" s="1"/>
  <c r="I209" i="1"/>
  <c r="K212" i="1"/>
  <c r="K211" i="1" s="1"/>
  <c r="K209" i="1"/>
  <c r="G212" i="1"/>
  <c r="G211" i="1" s="1"/>
  <c r="G209" i="1"/>
  <c r="F100" i="1"/>
  <c r="F328" i="1" s="1"/>
  <c r="F344" i="1" s="1"/>
  <c r="G102" i="1"/>
  <c r="G330" i="1" s="1"/>
  <c r="G346" i="1" s="1"/>
  <c r="G491" i="1" s="1"/>
  <c r="H102" i="1"/>
  <c r="H330" i="1" s="1"/>
  <c r="H346" i="1" s="1"/>
  <c r="H491" i="1" s="1"/>
  <c r="H103" i="1"/>
  <c r="H331" i="1" s="1"/>
  <c r="H347" i="1" s="1"/>
  <c r="H492" i="1" s="1"/>
  <c r="H481" i="1" s="1"/>
  <c r="F235" i="1"/>
  <c r="F234" i="1" s="1"/>
  <c r="K102" i="1"/>
  <c r="K330" i="1" s="1"/>
  <c r="K346" i="1" s="1"/>
  <c r="K491" i="1" s="1"/>
  <c r="J103" i="1"/>
  <c r="J331" i="1" s="1"/>
  <c r="J347" i="1" s="1"/>
  <c r="J492" i="1" s="1"/>
  <c r="J481" i="1" s="1"/>
  <c r="G103" i="1"/>
  <c r="G331" i="1" s="1"/>
  <c r="G347" i="1" s="1"/>
  <c r="G492" i="1" s="1"/>
  <c r="G481" i="1" s="1"/>
  <c r="I112" i="1"/>
  <c r="I96" i="1" s="1"/>
  <c r="I102" i="1"/>
  <c r="I330" i="1" s="1"/>
  <c r="I346" i="1" s="1"/>
  <c r="I491" i="1" s="1"/>
  <c r="K112" i="1"/>
  <c r="K96" i="1" s="1"/>
  <c r="I103" i="1"/>
  <c r="I331" i="1" s="1"/>
  <c r="I347" i="1" s="1"/>
  <c r="I492" i="1" s="1"/>
  <c r="I481" i="1" s="1"/>
  <c r="G112" i="1"/>
  <c r="G96" i="1" s="1"/>
  <c r="F262" i="1"/>
  <c r="F251" i="1" s="1"/>
  <c r="J112" i="1"/>
  <c r="J96" i="1" s="1"/>
  <c r="H112" i="1"/>
  <c r="H96" i="1" s="1"/>
  <c r="K103" i="1"/>
  <c r="K331" i="1" s="1"/>
  <c r="K347" i="1" s="1"/>
  <c r="K492" i="1" s="1"/>
  <c r="K481" i="1" s="1"/>
  <c r="F80" i="1"/>
  <c r="F61" i="1" s="1"/>
  <c r="F337" i="1" l="1"/>
  <c r="F353" i="1" s="1"/>
  <c r="F338" i="1"/>
  <c r="F354" i="1" s="1"/>
  <c r="F499" i="1" s="1"/>
  <c r="F488" i="1" s="1"/>
  <c r="K836" i="1"/>
  <c r="K869" i="1" s="1"/>
  <c r="F413" i="1"/>
  <c r="F412" i="1" s="1"/>
  <c r="F414" i="1"/>
  <c r="I836" i="1"/>
  <c r="I869" i="1" s="1"/>
  <c r="J836" i="1"/>
  <c r="J869" i="1" s="1"/>
  <c r="I874" i="1"/>
  <c r="I840" i="1"/>
  <c r="I873" i="1" s="1"/>
  <c r="I837" i="1"/>
  <c r="I870" i="1" s="1"/>
  <c r="I834" i="1"/>
  <c r="I867" i="1" s="1"/>
  <c r="I839" i="1"/>
  <c r="I872" i="1" s="1"/>
  <c r="I838" i="1"/>
  <c r="I871" i="1" s="1"/>
  <c r="I835" i="1"/>
  <c r="I868" i="1" s="1"/>
  <c r="I833" i="1"/>
  <c r="I866" i="1" s="1"/>
  <c r="H208" i="1"/>
  <c r="H180" i="1" s="1"/>
  <c r="H179" i="1" s="1"/>
  <c r="H874" i="1"/>
  <c r="H840" i="1"/>
  <c r="H873" i="1" s="1"/>
  <c r="H839" i="1"/>
  <c r="H872" i="1" s="1"/>
  <c r="H838" i="1"/>
  <c r="H871" i="1" s="1"/>
  <c r="H837" i="1"/>
  <c r="H870" i="1" s="1"/>
  <c r="H834" i="1"/>
  <c r="H867" i="1" s="1"/>
  <c r="H835" i="1"/>
  <c r="H868" i="1" s="1"/>
  <c r="H833" i="1"/>
  <c r="H866" i="1" s="1"/>
  <c r="J874" i="1"/>
  <c r="J840" i="1"/>
  <c r="J873" i="1" s="1"/>
  <c r="J837" i="1"/>
  <c r="J870" i="1" s="1"/>
  <c r="J839" i="1"/>
  <c r="J872" i="1" s="1"/>
  <c r="J838" i="1"/>
  <c r="J871" i="1" s="1"/>
  <c r="J834" i="1"/>
  <c r="J867" i="1" s="1"/>
  <c r="J835" i="1"/>
  <c r="J868" i="1" s="1"/>
  <c r="J833" i="1"/>
  <c r="J866" i="1" s="1"/>
  <c r="F546" i="1"/>
  <c r="H836" i="1"/>
  <c r="H869" i="1" s="1"/>
  <c r="H832" i="1"/>
  <c r="H865" i="1" s="1"/>
  <c r="F501" i="1"/>
  <c r="G874" i="1"/>
  <c r="G840" i="1"/>
  <c r="G873" i="1" s="1"/>
  <c r="G834" i="1"/>
  <c r="G867" i="1" s="1"/>
  <c r="G838" i="1"/>
  <c r="G871" i="1" s="1"/>
  <c r="G837" i="1"/>
  <c r="G870" i="1" s="1"/>
  <c r="G839" i="1"/>
  <c r="G872" i="1" s="1"/>
  <c r="G835" i="1"/>
  <c r="G868" i="1" s="1"/>
  <c r="G833" i="1"/>
  <c r="G866" i="1" s="1"/>
  <c r="K874" i="1"/>
  <c r="K840" i="1"/>
  <c r="K873" i="1" s="1"/>
  <c r="K834" i="1"/>
  <c r="K867" i="1" s="1"/>
  <c r="K839" i="1"/>
  <c r="K872" i="1" s="1"/>
  <c r="K838" i="1"/>
  <c r="K871" i="1" s="1"/>
  <c r="K837" i="1"/>
  <c r="K870" i="1" s="1"/>
  <c r="K835" i="1"/>
  <c r="K868" i="1" s="1"/>
  <c r="K833" i="1"/>
  <c r="K866" i="1" s="1"/>
  <c r="G836" i="1"/>
  <c r="G869" i="1" s="1"/>
  <c r="G208" i="1"/>
  <c r="G180" i="1" s="1"/>
  <c r="G179" i="1" s="1"/>
  <c r="K208" i="1"/>
  <c r="K180" i="1" s="1"/>
  <c r="K179" i="1" s="1"/>
  <c r="J208" i="1"/>
  <c r="J180" i="1" s="1"/>
  <c r="J179" i="1" s="1"/>
  <c r="F208" i="1"/>
  <c r="F180" i="1" s="1"/>
  <c r="I208" i="1"/>
  <c r="I180" i="1" s="1"/>
  <c r="I179" i="1" s="1"/>
  <c r="J530" i="1"/>
  <c r="I530" i="1"/>
  <c r="F423" i="1"/>
  <c r="I423" i="1"/>
  <c r="H416" i="1"/>
  <c r="H409" i="1" s="1"/>
  <c r="H408" i="1" s="1"/>
  <c r="F530" i="1"/>
  <c r="I462" i="1"/>
  <c r="I461" i="1" s="1"/>
  <c r="I407" i="1" s="1"/>
  <c r="I526" i="1"/>
  <c r="K462" i="1"/>
  <c r="K461" i="1" s="1"/>
  <c r="K526" i="1"/>
  <c r="G462" i="1"/>
  <c r="G461" i="1" s="1"/>
  <c r="G526" i="1"/>
  <c r="J462" i="1"/>
  <c r="J461" i="1" s="1"/>
  <c r="J407" i="1" s="1"/>
  <c r="J526" i="1"/>
  <c r="H462" i="1"/>
  <c r="H461" i="1" s="1"/>
  <c r="H526" i="1"/>
  <c r="F462" i="1"/>
  <c r="F526" i="1"/>
  <c r="F525" i="1"/>
  <c r="K300" i="1"/>
  <c r="K289" i="1" s="1"/>
  <c r="G300" i="1"/>
  <c r="G289" i="1" s="1"/>
  <c r="I300" i="1"/>
  <c r="I289" i="1" s="1"/>
  <c r="H300" i="1"/>
  <c r="H289" i="1" s="1"/>
  <c r="J300" i="1"/>
  <c r="J289" i="1" s="1"/>
  <c r="F300" i="1"/>
  <c r="K480" i="1"/>
  <c r="K479" i="1" s="1"/>
  <c r="K490" i="1"/>
  <c r="G480" i="1"/>
  <c r="G479" i="1" s="1"/>
  <c r="G490" i="1"/>
  <c r="H480" i="1"/>
  <c r="H479" i="1" s="1"/>
  <c r="H490" i="1"/>
  <c r="I480" i="1"/>
  <c r="I479" i="1" s="1"/>
  <c r="I490" i="1"/>
  <c r="J480" i="1"/>
  <c r="J479" i="1" s="1"/>
  <c r="J490" i="1"/>
  <c r="G423" i="1"/>
  <c r="J467" i="1"/>
  <c r="G467" i="1"/>
  <c r="H467" i="1"/>
  <c r="K467" i="1"/>
  <c r="I467" i="1"/>
  <c r="F410" i="1"/>
  <c r="F409" i="1" s="1"/>
  <c r="F408" i="1" s="1"/>
  <c r="F467" i="1"/>
  <c r="K423" i="1"/>
  <c r="J340" i="1"/>
  <c r="J324" i="1" s="1"/>
  <c r="J423" i="1"/>
  <c r="K416" i="1"/>
  <c r="K409" i="1" s="1"/>
  <c r="K408" i="1" s="1"/>
  <c r="H340" i="1"/>
  <c r="H324" i="1" s="1"/>
  <c r="H423" i="1"/>
  <c r="G416" i="1"/>
  <c r="G409" i="1" s="1"/>
  <c r="G408" i="1" s="1"/>
  <c r="F395" i="1"/>
  <c r="K340" i="1"/>
  <c r="K324" i="1" s="1"/>
  <c r="I340" i="1"/>
  <c r="I324" i="1" s="1"/>
  <c r="G340" i="1"/>
  <c r="G324" i="1" s="1"/>
  <c r="F102" i="1"/>
  <c r="F112" i="1"/>
  <c r="F96" i="1" s="1"/>
  <c r="F103" i="1"/>
  <c r="F331" i="1" s="1"/>
  <c r="F347" i="1" s="1"/>
  <c r="F492" i="1" s="1"/>
  <c r="F481" i="1" s="1"/>
  <c r="F9" i="4" l="1"/>
  <c r="F8" i="4" s="1"/>
  <c r="G9" i="4"/>
  <c r="G8" i="4" s="1"/>
  <c r="I465" i="1"/>
  <c r="I464" i="1" s="1"/>
  <c r="I466" i="1"/>
  <c r="F465" i="1"/>
  <c r="F464" i="1" s="1"/>
  <c r="F466" i="1"/>
  <c r="K465" i="1"/>
  <c r="K464" i="1" s="1"/>
  <c r="K466" i="1"/>
  <c r="G465" i="1"/>
  <c r="G464" i="1" s="1"/>
  <c r="G466" i="1"/>
  <c r="H465" i="1"/>
  <c r="H464" i="1" s="1"/>
  <c r="H466" i="1"/>
  <c r="J465" i="1"/>
  <c r="J464" i="1" s="1"/>
  <c r="J466" i="1"/>
  <c r="J420" i="1"/>
  <c r="J419" i="1" s="1"/>
  <c r="J422" i="1"/>
  <c r="K420" i="1"/>
  <c r="K419" i="1" s="1"/>
  <c r="K422" i="1"/>
  <c r="H420" i="1"/>
  <c r="H419" i="1" s="1"/>
  <c r="H422" i="1"/>
  <c r="I420" i="1"/>
  <c r="I419" i="1" s="1"/>
  <c r="I422" i="1"/>
  <c r="F420" i="1"/>
  <c r="F419" i="1" s="1"/>
  <c r="F422" i="1"/>
  <c r="G420" i="1"/>
  <c r="G419" i="1" s="1"/>
  <c r="G422" i="1"/>
  <c r="H407" i="1"/>
  <c r="E9" i="4" s="1"/>
  <c r="E8" i="4" s="1"/>
  <c r="G407" i="1"/>
  <c r="D9" i="4" s="1"/>
  <c r="D8" i="4" s="1"/>
  <c r="K407" i="1"/>
  <c r="H9" i="4" s="1"/>
  <c r="H8" i="4" s="1"/>
  <c r="J2" i="1"/>
  <c r="G14" i="4" l="1"/>
  <c r="G13" i="4"/>
  <c r="H2" i="1"/>
  <c r="K2" i="1"/>
  <c r="I2" i="1"/>
  <c r="G2" i="1"/>
  <c r="F2" i="1"/>
  <c r="F1202" i="1"/>
  <c r="F14" i="4" l="1"/>
  <c r="F13" i="4"/>
  <c r="C14" i="4"/>
  <c r="C13" i="4"/>
  <c r="H14" i="4"/>
  <c r="H13" i="4"/>
  <c r="D13" i="4"/>
  <c r="D14" i="4"/>
  <c r="E14" i="4"/>
  <c r="E13" i="4"/>
  <c r="F238" i="1"/>
  <c r="F231" i="1" s="1"/>
  <c r="F179" i="1" s="1"/>
  <c r="F261" i="1"/>
  <c r="F260" i="1" s="1"/>
  <c r="F792" i="1"/>
  <c r="F790" i="1" s="1"/>
  <c r="F250" i="1" l="1"/>
  <c r="F249" i="1" s="1"/>
  <c r="F835" i="1"/>
  <c r="F868" i="1" s="1"/>
  <c r="F832" i="1"/>
  <c r="F865" i="1" s="1"/>
  <c r="F833" i="1"/>
  <c r="F866" i="1" s="1"/>
  <c r="F838" i="1"/>
  <c r="F871" i="1" s="1"/>
  <c r="F840" i="1"/>
  <c r="F873" i="1" s="1"/>
  <c r="F837" i="1"/>
  <c r="F870" i="1" s="1"/>
  <c r="F834" i="1"/>
  <c r="F867" i="1" s="1"/>
  <c r="F839" i="1"/>
  <c r="F872" i="1" s="1"/>
  <c r="F836" i="1"/>
  <c r="F869" i="1" s="1"/>
  <c r="F532" i="1"/>
  <c r="F308" i="1"/>
  <c r="F330" i="1"/>
  <c r="F346" i="1" s="1"/>
  <c r="F289" i="1" l="1"/>
  <c r="F340" i="1"/>
  <c r="F324" i="1" s="1"/>
  <c r="F491" i="1"/>
  <c r="F490" i="1" s="1"/>
  <c r="F468" i="1"/>
  <c r="F461" i="1" s="1"/>
  <c r="F407" i="1" s="1"/>
  <c r="F480" i="1" l="1"/>
  <c r="F479" i="1" s="1"/>
  <c r="C9" i="4"/>
  <c r="C8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<sst xmlns="http://schemas.openxmlformats.org/spreadsheetml/2006/main" count="4691" uniqueCount="2478">
  <si>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</si>
  <si>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</si>
  <si>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</si>
  <si>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</si>
  <si>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</si>
  <si>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</si>
  <si>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</si>
  <si>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</si>
  <si>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</si>
  <si>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</si>
  <si>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</si>
  <si>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</si>
  <si>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</si>
  <si>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</si>
  <si>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</si>
  <si>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</si>
  <si>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</si>
  <si>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</si>
  <si>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</si>
  <si>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</si>
  <si>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</si>
  <si>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</si>
  <si>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</si>
  <si>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</si>
  <si>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</si>
  <si>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</si>
  <si>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</si>
  <si>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</si>
  <si>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</si>
  <si>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</si>
  <si>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</si>
  <si>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</si>
  <si>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</si>
  <si>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</si>
  <si>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</si>
  <si>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</si>
  <si>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</si>
  <si>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</si>
  <si>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</si>
  <si>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</si>
  <si>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</si>
  <si>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</si>
  <si>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</si>
  <si>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</si>
  <si>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</si>
  <si>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</si>
  <si>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</si>
  <si>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</si>
  <si>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</si>
  <si>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</si>
  <si>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</si>
  <si>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</si>
  <si>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</si>
  <si>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</si>
  <si>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</si>
  <si>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</si>
  <si>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</si>
  <si>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</si>
  <si>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</si>
  <si>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</si>
  <si>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</si>
  <si>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</si>
  <si>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</si>
  <si>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</si>
  <si>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</si>
  <si>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</si>
  <si>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</si>
  <si>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</si>
  <si>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</si>
  <si>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</si>
  <si>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</si>
  <si>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</si>
  <si>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</si>
  <si>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</si>
  <si>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</si>
  <si>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</si>
  <si>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</si>
  <si>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</si>
  <si>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</si>
  <si>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</si>
  <si>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</si>
  <si>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</si>
  <si>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</si>
  <si>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</si>
  <si>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</si>
  <si>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</si>
  <si>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</si>
  <si>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</si>
  <si>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</si>
  <si>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</si>
  <si>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</si>
  <si>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</si>
  <si>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</si>
  <si>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</si>
  <si>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</si>
  <si>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</si>
  <si>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</si>
  <si>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</si>
  <si>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</si>
  <si>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</si>
  <si>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</si>
  <si>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</si>
  <si>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</si>
  <si>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</si>
  <si>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</si>
  <si>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</si>
  <si>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</si>
  <si>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</si>
  <si>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</si>
  <si>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</si>
  <si>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</si>
  <si>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</si>
  <si>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</si>
  <si>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</si>
  <si>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</si>
  <si>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</si>
  <si>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</si>
  <si>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</si>
  <si>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</si>
  <si>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</si>
  <si>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</si>
  <si>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</si>
  <si>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</si>
  <si>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</si>
  <si>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</si>
  <si>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</si>
  <si>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</si>
  <si>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</si>
  <si>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</si>
  <si>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</si>
  <si>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</si>
  <si>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</si>
  <si>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</si>
  <si>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</si>
  <si>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</si>
  <si>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</si>
  <si>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</si>
  <si>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</si>
  <si>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</si>
  <si>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</si>
  <si>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</si>
  <si>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</si>
  <si>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</si>
  <si>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</si>
  <si>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</si>
  <si>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</si>
  <si>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</si>
  <si>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</si>
  <si>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</si>
  <si>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</si>
  <si>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</si>
  <si>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</si>
  <si>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</si>
  <si>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</si>
  <si>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</si>
  <si>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</si>
  <si>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</si>
  <si>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</si>
  <si>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</si>
  <si>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</si>
  <si>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</si>
  <si>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</si>
  <si>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</si>
  <si>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</si>
  <si>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</si>
  <si>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</si>
  <si>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</si>
  <si>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</si>
  <si>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</si>
  <si>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</si>
  <si>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</si>
  <si>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</si>
  <si>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</si>
  <si>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</si>
  <si>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</si>
  <si>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</si>
  <si>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</si>
  <si>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</si>
  <si>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</si>
  <si>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</si>
  <si>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</si>
  <si>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</si>
  <si>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</si>
  <si>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</si>
  <si>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</si>
  <si>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</si>
  <si>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</si>
  <si>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</si>
  <si>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</si>
  <si>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</si>
  <si>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</si>
  <si>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</si>
  <si>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</si>
  <si>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</si>
  <si>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</si>
  <si>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</si>
  <si>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</si>
  <si>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</si>
  <si>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</si>
  <si>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</si>
  <si>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</si>
  <si>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</si>
  <si>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</si>
  <si>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</si>
  <si>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</si>
  <si>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</si>
  <si>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</si>
  <si>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</si>
  <si>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</si>
  <si>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</si>
  <si>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</si>
  <si>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</si>
  <si>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</si>
  <si>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</si>
  <si>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</si>
  <si>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</si>
  <si>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</si>
  <si>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</si>
  <si>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</si>
  <si>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</si>
  <si>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</si>
  <si>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</si>
  <si>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</si>
  <si>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</si>
  <si>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</si>
  <si>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</si>
  <si>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</si>
  <si>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</si>
  <si>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</si>
  <si>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</si>
  <si>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</si>
  <si>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</si>
  <si>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</si>
  <si>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</si>
  <si>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</si>
  <si>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</si>
  <si>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</si>
  <si>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</si>
  <si>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</si>
  <si>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</si>
  <si>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</si>
  <si>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</si>
  <si>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</si>
  <si>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</si>
  <si>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</si>
  <si>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</si>
  <si>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</si>
  <si>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</si>
  <si>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</si>
  <si>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</si>
  <si>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</si>
  <si>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</si>
  <si>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</si>
  <si>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</si>
  <si>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</si>
  <si>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</si>
  <si>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</si>
  <si>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</si>
  <si>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</si>
  <si>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</si>
  <si>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</si>
  <si>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</si>
  <si>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</si>
  <si>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</si>
  <si>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</si>
  <si>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</si>
  <si>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</si>
  <si>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</si>
  <si>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</si>
  <si>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</si>
  <si>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</si>
  <si>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</si>
  <si>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</si>
  <si>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</si>
  <si>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</si>
  <si>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</si>
  <si>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</si>
  <si>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</si>
  <si>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</si>
  <si>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</si>
  <si>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</si>
  <si>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</si>
  <si>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</si>
  <si>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</si>
  <si>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</si>
  <si>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</si>
  <si>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</si>
  <si>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</si>
  <si>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</si>
  <si>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</si>
  <si>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</si>
  <si>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</si>
  <si>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</si>
  <si>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</si>
  <si>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</si>
  <si>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</si>
  <si>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</si>
  <si>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</si>
  <si>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</si>
  <si>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</si>
  <si>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</si>
  <si>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</si>
  <si>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</si>
  <si>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</si>
  <si>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</si>
  <si>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</si>
  <si>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</si>
  <si>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</si>
  <si>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</si>
  <si>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</si>
  <si>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</si>
  <si>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</si>
  <si>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</si>
  <si>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</si>
  <si>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</si>
  <si>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</si>
  <si>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</si>
  <si>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</si>
  <si>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</si>
  <si>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</si>
  <si>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</si>
  <si>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</si>
  <si>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</si>
  <si>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</si>
  <si>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</si>
  <si>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</si>
  <si>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</si>
  <si>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</si>
  <si>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</si>
  <si>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</si>
  <si>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</si>
  <si>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</si>
  <si>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</si>
  <si>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</si>
  <si>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</si>
  <si>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</si>
  <si>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</si>
  <si>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</si>
  <si>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</si>
  <si>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</si>
  <si>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</si>
  <si>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</si>
  <si>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</si>
  <si>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</si>
  <si>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</si>
  <si>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</si>
  <si>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</si>
  <si>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</si>
  <si>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</si>
  <si>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</si>
  <si>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</si>
  <si>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</si>
  <si>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</si>
  <si>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</si>
  <si>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</si>
  <si>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</si>
  <si>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</si>
  <si>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</si>
  <si>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</si>
  <si>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</si>
  <si>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</si>
  <si>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</si>
  <si>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</si>
  <si>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</si>
  <si>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</si>
  <si>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</si>
  <si>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</si>
  <si>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</si>
  <si>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</si>
  <si>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</si>
  <si>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</si>
  <si>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</si>
  <si>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</si>
  <si>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</si>
  <si>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</si>
  <si>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</si>
  <si>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</si>
  <si>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</si>
  <si>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</si>
  <si>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</si>
  <si>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</si>
  <si>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</si>
  <si>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</si>
  <si>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</si>
  <si>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</si>
  <si>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</si>
  <si>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</si>
  <si>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</si>
  <si>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</si>
  <si>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</si>
  <si>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</si>
  <si>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</si>
  <si>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</si>
  <si>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</si>
  <si>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</si>
  <si>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</si>
  <si>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</si>
  <si>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</si>
  <si>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</si>
  <si>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</si>
  <si>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</si>
  <si>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</si>
  <si>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</si>
  <si>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</si>
  <si>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</si>
  <si>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</si>
  <si>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</si>
  <si>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</si>
  <si>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</si>
  <si>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</si>
  <si>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</si>
  <si>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</si>
  <si>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</si>
  <si>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</si>
  <si>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</si>
  <si>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</si>
  <si>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</si>
  <si>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</si>
  <si>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</si>
  <si>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</si>
  <si>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</si>
  <si>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</si>
  <si>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</si>
  <si>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</si>
  <si>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</si>
  <si>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</si>
  <si>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</si>
  <si>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</si>
  <si>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</si>
  <si>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</si>
  <si>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</si>
  <si>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</si>
  <si>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</si>
  <si>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</si>
  <si>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</si>
  <si>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</si>
  <si>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</si>
  <si>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</si>
  <si>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</si>
  <si>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</si>
  <si>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</si>
  <si>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</si>
  <si>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</si>
  <si>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</si>
  <si>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</si>
  <si>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</si>
  <si>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</si>
  <si>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</si>
  <si>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</si>
  <si>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</si>
  <si>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</si>
  <si>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</si>
  <si>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</si>
  <si>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</si>
  <si>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</si>
  <si>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</si>
  <si>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</si>
  <si>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</si>
  <si>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</si>
  <si>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</si>
  <si>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</si>
  <si>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</si>
  <si>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</si>
  <si>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</si>
  <si>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</si>
  <si>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</si>
  <si>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</si>
  <si>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</si>
  <si>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</si>
  <si>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</si>
  <si>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</si>
  <si>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</si>
  <si>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</si>
  <si>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</si>
  <si>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</si>
  <si>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</si>
  <si>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</si>
  <si>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</si>
  <si>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</si>
  <si>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</si>
  <si>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</si>
  <si>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</si>
  <si>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</si>
  <si>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</si>
  <si>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</si>
  <si>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</si>
  <si>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</si>
  <si>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</si>
  <si>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</si>
  <si>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</si>
  <si>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</si>
  <si>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</si>
  <si>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</si>
  <si>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</si>
  <si>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</si>
  <si>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</si>
  <si>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</si>
  <si>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</si>
  <si>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</si>
  <si>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</si>
  <si>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</si>
  <si>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</si>
  <si>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</si>
  <si>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</si>
  <si>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</si>
  <si>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</si>
  <si>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</si>
  <si>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</si>
  <si>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</si>
  <si>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</si>
  <si>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</si>
  <si>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</si>
  <si>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</si>
  <si>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</si>
  <si>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</si>
  <si>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</si>
  <si>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</si>
  <si>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</si>
  <si>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</si>
  <si>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</si>
  <si>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</si>
  <si>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</si>
  <si>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</si>
  <si>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</si>
  <si>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</si>
  <si>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</si>
  <si>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</si>
  <si>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</si>
  <si>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</si>
  <si>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</si>
  <si>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</si>
  <si>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</si>
  <si>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</si>
  <si>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</si>
  <si>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</si>
  <si>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</si>
  <si>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</si>
  <si>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</si>
  <si>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</si>
  <si>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</si>
  <si>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</si>
  <si>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</si>
  <si>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</si>
  <si>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</si>
  <si>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</si>
  <si>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</si>
  <si>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</si>
  <si>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</si>
  <si>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</si>
  <si>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</si>
  <si>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</si>
  <si>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</si>
  <si>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</si>
  <si>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</si>
  <si>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</si>
  <si>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</si>
  <si>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</si>
  <si>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</si>
  <si>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</si>
  <si>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</si>
  <si>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</si>
  <si>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</si>
  <si>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</si>
  <si>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</si>
  <si>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</si>
  <si>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</si>
  <si>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</si>
  <si>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</si>
  <si>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</si>
  <si>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</si>
  <si>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</si>
  <si>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</si>
  <si>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</si>
  <si>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</si>
  <si>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</si>
  <si>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</si>
  <si>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</si>
  <si>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</si>
  <si>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</si>
  <si>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</si>
  <si>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</si>
  <si>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</si>
  <si>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</si>
  <si>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</si>
  <si>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</si>
  <si>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</si>
  <si>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</si>
  <si>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</si>
  <si>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</si>
  <si>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</si>
  <si>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</si>
  <si>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</si>
  <si>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</si>
  <si>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</si>
  <si>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</si>
  <si>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</si>
  <si>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</si>
  <si>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</si>
  <si>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</si>
  <si>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</si>
  <si>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</si>
  <si>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</si>
  <si>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</si>
  <si>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</si>
  <si>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</si>
  <si>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</si>
  <si>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</si>
  <si>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</si>
  <si>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</si>
  <si>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</si>
  <si>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</si>
  <si>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</si>
  <si>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</si>
  <si>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</si>
  <si>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</si>
  <si>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</si>
  <si>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</si>
  <si>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</si>
  <si>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</si>
  <si>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</si>
  <si>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</si>
  <si>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</si>
  <si>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</si>
  <si>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</si>
  <si>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</si>
  <si>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</si>
  <si>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</si>
  <si>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</si>
  <si>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</si>
  <si>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</si>
  <si>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</si>
  <si>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</si>
  <si>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</si>
  <si>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</si>
  <si>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</si>
  <si>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</si>
  <si>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</si>
  <si>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</si>
  <si>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</si>
  <si>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</si>
  <si>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</si>
  <si>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</si>
  <si>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</si>
  <si>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</si>
  <si>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</si>
  <si>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</si>
  <si>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</si>
  <si>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</si>
  <si>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</si>
  <si>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</si>
  <si>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</si>
  <si>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</si>
  <si>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</si>
  <si>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</si>
  <si>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</si>
  <si>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</si>
  <si>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</si>
  <si>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</si>
  <si>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</si>
  <si>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</si>
  <si>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</si>
  <si>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</si>
  <si>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</si>
  <si>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</si>
  <si>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</si>
  <si>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</si>
  <si>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</si>
  <si>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</si>
  <si>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</si>
  <si>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</si>
  <si>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</si>
  <si>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</si>
  <si>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</si>
  <si>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</si>
  <si>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</si>
  <si>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</si>
  <si>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</si>
  <si>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</si>
  <si>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</si>
  <si>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</si>
  <si>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</si>
  <si>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</si>
  <si>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</si>
  <si>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</si>
  <si>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</si>
  <si>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</si>
  <si>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</si>
  <si>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</si>
  <si>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</si>
  <si>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</si>
  <si>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</si>
  <si>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</si>
  <si>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</si>
  <si>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</si>
  <si>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</si>
  <si>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</si>
  <si>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</si>
  <si>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</si>
  <si>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</si>
  <si>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</si>
  <si>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</si>
  <si>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</si>
  <si>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</si>
  <si>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</si>
  <si>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</si>
  <si>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</si>
  <si>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</si>
  <si>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</si>
  <si>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</si>
  <si>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</si>
  <si>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</si>
  <si>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</si>
  <si>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</si>
  <si>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</si>
  <si>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</si>
  <si>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</si>
  <si>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</si>
  <si>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</si>
  <si>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</si>
  <si>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</si>
  <si>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</si>
  <si>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</si>
  <si>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</si>
  <si>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</si>
  <si>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</si>
  <si>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</si>
  <si>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</si>
  <si>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</si>
  <si>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</si>
  <si>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</si>
  <si>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</si>
  <si>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</si>
  <si>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</si>
  <si>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</si>
  <si>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</si>
  <si>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</si>
  <si>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</si>
  <si>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</si>
  <si>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</si>
  <si>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</si>
  <si>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</si>
  <si>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</si>
  <si>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</si>
  <si>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</si>
  <si>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</si>
  <si>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</si>
  <si>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</si>
  <si>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</si>
  <si>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</si>
  <si>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</si>
  <si>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</si>
  <si>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</si>
  <si>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</si>
  <si>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</si>
  <si>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</si>
  <si>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</si>
  <si>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</si>
  <si>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</si>
  <si>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</si>
  <si>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</si>
  <si>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</si>
  <si>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</si>
  <si>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</si>
  <si>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</si>
  <si>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</si>
  <si>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</si>
  <si>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</si>
  <si>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</si>
  <si>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</si>
  <si>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</si>
  <si>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</si>
  <si>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</si>
  <si>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</si>
  <si>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</si>
  <si>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</si>
  <si>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</si>
  <si>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</si>
  <si>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</si>
  <si>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</si>
  <si>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</si>
  <si>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</si>
  <si>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</si>
  <si>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</si>
  <si>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Imports|Oil|Synthetic liquids|PtL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</si>
  <si>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</si>
  <si>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</si>
  <si>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</si>
  <si>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</si>
  <si>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</si>
  <si>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</si>
  <si>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</si>
  <si>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</si>
  <si>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</si>
  <si>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</si>
  <si>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</si>
  <si>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</si>
  <si>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</si>
  <si>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</si>
  <si>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</si>
  <si>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</si>
  <si>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</si>
  <si>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</si>
  <si>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</si>
  <si>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</si>
  <si>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</si>
  <si>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</si>
  <si>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</si>
  <si>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</si>
  <si>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</si>
  <si>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</si>
  <si>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</si>
  <si>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</si>
  <si>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</si>
  <si>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</si>
  <si>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</si>
  <si>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</si>
  <si>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</si>
  <si>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</si>
  <si>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</si>
  <si>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</si>
  <si>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</si>
  <si>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</si>
  <si>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</si>
  <si>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</si>
  <si>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</si>
  <si>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</si>
  <si>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</si>
  <si>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</si>
  <si>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</si>
  <si>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</si>
  <si>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</si>
  <si>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</si>
  <si>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</si>
  <si>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</si>
  <si>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</si>
  <si>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</si>
  <si>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</si>
  <si>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</si>
  <si>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</si>
  <si>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</si>
  <si>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</si>
  <si>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</si>
  <si>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</si>
  <si>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</si>
  <si>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</si>
  <si>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</si>
  <si>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</si>
  <si>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</si>
  <si>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</si>
  <si>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</si>
  <si>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</si>
  <si>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</si>
  <si>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</si>
  <si>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</si>
  <si>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</si>
  <si>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</si>
  <si>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</si>
  <si>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</si>
  <si>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</si>
  <si>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</si>
  <si>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</si>
  <si>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</si>
  <si>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</si>
  <si>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</si>
  <si>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</si>
  <si>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</si>
  <si>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</si>
  <si>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</si>
  <si>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</si>
  <si>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</si>
  <si>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</si>
  <si>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</si>
  <si>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</si>
  <si>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</si>
  <si>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</si>
  <si>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</si>
  <si>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</si>
  <si>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</si>
  <si>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</si>
  <si>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</si>
  <si>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</si>
  <si>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</si>
  <si>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</si>
  <si>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</si>
  <si>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</si>
  <si>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</si>
  <si>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</si>
  <si>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</si>
  <si>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</si>
  <si>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</si>
  <si>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</si>
  <si>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</si>
  <si>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</si>
  <si>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</si>
  <si>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</si>
  <si>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</si>
  <si>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</si>
  <si>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</si>
  <si>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</si>
  <si>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</si>
  <si>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</si>
  <si>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</si>
  <si>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</si>
  <si>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</si>
  <si>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</si>
  <si>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</si>
  <si>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</si>
  <si>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</si>
  <si>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</si>
  <si>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</si>
  <si>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</si>
  <si>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</si>
  <si>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</si>
  <si>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</si>
  <si>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</si>
  <si>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</si>
  <si>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</si>
  <si>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</si>
  <si>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</si>
  <si>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</si>
  <si>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</si>
  <si>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</si>
  <si>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</si>
  <si>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</si>
  <si>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</si>
  <si>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</si>
  <si>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</si>
  <si>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</si>
  <si>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</si>
  <si>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</si>
  <si>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</si>
  <si>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</si>
  <si>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</si>
  <si>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</si>
  <si>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</si>
  <si>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</si>
  <si>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</si>
  <si>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</si>
  <si>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</si>
  <si>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</si>
  <si>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</si>
  <si>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</si>
  <si>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</si>
  <si>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</si>
  <si>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</si>
  <si>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</si>
  <si>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</si>
  <si>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</si>
  <si>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</si>
  <si>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</si>
  <si>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</si>
  <si>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</si>
  <si>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</si>
  <si>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</si>
  <si>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</si>
  <si>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</si>
  <si>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</si>
  <si>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</si>
  <si>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</si>
  <si>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</si>
  <si>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</si>
  <si>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</si>
  <si>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</si>
  <si>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</si>
  <si>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</si>
  <si>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</si>
  <si>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</si>
  <si>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</si>
  <si>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</si>
  <si>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</si>
  <si>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</si>
  <si>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</si>
  <si>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</si>
  <si>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</si>
  <si>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</si>
  <si>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</si>
  <si>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</si>
  <si>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</si>
  <si>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</si>
  <si>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</si>
  <si>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</si>
  <si>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</si>
  <si>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</si>
  <si>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</si>
  <si>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</si>
  <si>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</si>
  <si>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</si>
  <si>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</si>
  <si>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</si>
  <si>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</si>
  <si>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</si>
  <si>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</si>
  <si>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</si>
  <si>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</si>
  <si>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</si>
  <si>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</si>
  <si>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</si>
  <si>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</si>
  <si>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</si>
  <si>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</si>
  <si>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</si>
  <si>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</si>
  <si>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</si>
  <si>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</si>
  <si>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</si>
  <si>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</si>
  <si>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</si>
  <si>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</si>
  <si>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</si>
  <si>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</si>
  <si>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</si>
  <si>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</si>
  <si>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</si>
  <si>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</si>
  <si>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</si>
  <si>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</si>
  <si>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</si>
  <si>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</si>
  <si>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</si>
  <si>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</si>
  <si>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</si>
  <si>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</si>
  <si>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</si>
  <si>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</si>
  <si>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</si>
  <si>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</si>
  <si>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</si>
  <si>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</si>
  <si>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</si>
  <si>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</si>
  <si>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</si>
  <si>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</si>
  <si>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</si>
  <si>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</si>
  <si>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</si>
  <si>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</si>
  <si>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</si>
  <si>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</si>
  <si>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</si>
  <si>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</si>
  <si>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</si>
  <si>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</si>
  <si>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</si>
  <si>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</si>
  <si>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</si>
  <si>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</si>
  <si>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</si>
  <si>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</si>
  <si>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</si>
  <si>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</si>
  <si>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</si>
  <si>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</si>
  <si>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</si>
  <si>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</si>
  <si>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</si>
  <si>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</si>
  <si>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</si>
  <si>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</si>
  <si>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</si>
  <si>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</si>
  <si>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</si>
  <si>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</si>
  <si>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</si>
  <si>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</si>
  <si>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</si>
  <si>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</si>
  <si>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</si>
  <si>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</si>
  <si>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</si>
  <si>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</si>
  <si>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</si>
  <si>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</si>
  <si>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</si>
  <si>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</si>
  <si>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</si>
  <si>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</si>
  <si>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</si>
  <si>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</si>
  <si>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</si>
  <si>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</si>
  <si>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</si>
  <si>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</si>
  <si>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</si>
  <si>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</si>
  <si>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</si>
  <si>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</si>
  <si>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</si>
  <si>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</si>
  <si>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</si>
  <si>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</si>
  <si>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</si>
  <si>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</si>
  <si>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</si>
  <si>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</si>
  <si>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</si>
  <si>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</si>
  <si>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</si>
  <si>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</si>
  <si>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</si>
  <si>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</si>
  <si>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</si>
  <si>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</si>
  <si>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</si>
  <si>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</si>
  <si>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</si>
  <si>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</si>
  <si>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</si>
  <si>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</si>
  <si>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</si>
  <si>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</si>
  <si>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</si>
  <si>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</si>
  <si>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</si>
  <si>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</si>
  <si>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</si>
  <si>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</si>
  <si>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</si>
  <si>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</si>
  <si>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</si>
  <si>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</si>
  <si>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</si>
  <si>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</si>
  <si>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</si>
  <si>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</si>
  <si>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</si>
  <si>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</si>
  <si>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</si>
  <si>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</si>
  <si>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</si>
  <si>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</si>
  <si>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</si>
  <si>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</si>
  <si>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</si>
  <si>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</si>
  <si>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</si>
  <si>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</si>
  <si>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</si>
  <si>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</si>
  <si>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</si>
  <si>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</si>
  <si>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</si>
  <si>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</si>
  <si>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</si>
  <si>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</si>
  <si>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</si>
  <si>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</si>
  <si>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</si>
  <si>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</si>
  <si>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</si>
  <si>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</si>
  <si>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</si>
  <si>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</si>
  <si>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</si>
  <si>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</si>
  <si>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</si>
  <si>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</si>
  <si>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</si>
  <si>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</si>
  <si>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</si>
  <si>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</si>
  <si>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</si>
  <si>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</si>
  <si>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</si>
  <si>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</si>
  <si>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</si>
  <si>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</si>
  <si>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</si>
  <si>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</si>
  <si>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</si>
  <si>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</si>
  <si>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</si>
  <si>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</si>
  <si>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</si>
  <si>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</si>
  <si>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</si>
  <si>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</si>
  <si>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</si>
  <si>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</si>
  <si>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</si>
  <si>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</si>
  <si>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</si>
  <si>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</si>
  <si>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</si>
  <si>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</si>
  <si>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</si>
  <si>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</si>
  <si>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</si>
  <si>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</si>
  <si>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</si>
  <si>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</si>
  <si>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</si>
  <si>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</si>
  <si>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</si>
  <si>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</si>
  <si>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</si>
  <si>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</si>
  <si>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</si>
  <si>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</si>
  <si>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</si>
  <si>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</si>
  <si>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</si>
  <si>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</si>
  <si>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</si>
  <si>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</si>
  <si>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</si>
  <si>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</si>
  <si>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</si>
  <si>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</si>
  <si>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</si>
  <si>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</si>
  <si>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</si>
  <si>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</si>
  <si>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</si>
  <si>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</si>
  <si>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</si>
  <si>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</si>
  <si>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</si>
  <si>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</si>
  <si>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</si>
  <si>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</si>
  <si>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</si>
  <si>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</si>
  <si>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</si>
  <si>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</si>
  <si>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</si>
  <si>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</si>
  <si>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</si>
  <si>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</si>
  <si>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</si>
  <si>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</si>
  <si>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</si>
  <si>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</si>
  <si>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</si>
  <si>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</si>
  <si>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</si>
  <si>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</si>
  <si>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</si>
  <si>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</si>
  <si>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</si>
  <si>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</si>
  <si>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</si>
  <si>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</si>
  <si>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</si>
  <si>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</si>
  <si>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</si>
  <si>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</si>
  <si>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</si>
  <si>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</si>
  <si>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</si>
  <si>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</si>
  <si>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</si>
  <si>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</si>
  <si>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</si>
  <si>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</si>
  <si>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</si>
  <si>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</si>
  <si>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</si>
  <si>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</si>
  <si>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</si>
  <si>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</si>
  <si>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</si>
  <si>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</si>
  <si>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</si>
  <si>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</si>
  <si>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</si>
  <si>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</si>
  <si>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</si>
  <si>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</si>
  <si>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</si>
  <si>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</si>
  <si>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</si>
  <si>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</si>
  <si>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</si>
  <si>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</si>
  <si>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</si>
  <si>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</si>
  <si>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</si>
  <si>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</si>
  <si>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</si>
  <si>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</si>
  <si>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</si>
  <si>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</si>
  <si>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</si>
  <si>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</si>
  <si>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</si>
  <si>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</si>
  <si>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</si>
  <si>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</si>
  <si>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</si>
  <si>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</si>
  <si>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</si>
  <si>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</si>
  <si>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</si>
  <si>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</si>
  <si>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</si>
  <si>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</si>
  <si>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</si>
  <si>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</si>
  <si>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</si>
  <si>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</si>
  <si>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</si>
  <si>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</si>
  <si>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</si>
  <si>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</si>
  <si>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</si>
  <si>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</si>
  <si>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</si>
  <si>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</si>
  <si>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</si>
  <si>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</si>
  <si>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</si>
  <si>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</si>
  <si>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</si>
  <si>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</si>
  <si>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</si>
  <si>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</si>
  <si>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</si>
  <si>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</si>
  <si>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</si>
  <si>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</si>
  <si>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</si>
  <si>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</si>
  <si>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</si>
  <si>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</si>
  <si>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</si>
  <si>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</si>
  <si>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</si>
  <si>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</si>
  <si>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</si>
  <si>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</si>
  <si>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</si>
  <si>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</si>
  <si>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</si>
  <si>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</si>
  <si>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</si>
  <si>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</si>
  <si>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</si>
  <si>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</si>
  <si>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</si>
  <si>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</si>
  <si>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</si>
  <si>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</si>
  <si>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</si>
  <si>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</si>
  <si>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</si>
  <si>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</si>
  <si>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</si>
  <si>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</si>
  <si>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</si>
  <si>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</si>
  <si>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</si>
  <si>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</si>
  <si>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</si>
  <si>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</si>
  <si>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</si>
  <si>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</si>
  <si>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</si>
  <si>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</si>
  <si>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</si>
  <si>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</si>
  <si>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</si>
  <si>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</si>
  <si>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</si>
  <si>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</si>
  <si>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</si>
  <si>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</si>
  <si>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</si>
  <si>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</si>
  <si>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</si>
  <si>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</si>
  <si>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</si>
  <si>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</si>
  <si>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</si>
  <si>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</si>
  <si>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</si>
  <si>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</si>
  <si>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</si>
  <si>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</si>
  <si>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</si>
  <si>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</si>
  <si>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</si>
  <si>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</si>
  <si>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</si>
  <si>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</si>
  <si>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</si>
  <si>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</si>
  <si>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</si>
  <si>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</si>
  <si>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</si>
  <si>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</si>
  <si>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</si>
  <si>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</si>
  <si>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</si>
  <si>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</si>
  <si>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</si>
  <si>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</si>
  <si>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</si>
  <si>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</si>
  <si>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</si>
  <si>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</si>
  <si>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</si>
  <si>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</si>
  <si>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</si>
  <si>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</si>
  <si>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</si>
  <si>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</si>
  <si>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</si>
  <si>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</si>
  <si>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</si>
  <si>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</si>
  <si>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</si>
  <si>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</si>
  <si>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</si>
  <si>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</si>
  <si>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</si>
  <si>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</si>
  <si>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</si>
  <si>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</si>
  <si>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</si>
  <si>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</si>
  <si>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</si>
  <si>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</si>
  <si>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</si>
  <si>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</si>
  <si>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</si>
  <si>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</si>
  <si>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</si>
  <si>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</si>
  <si>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</si>
  <si>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</si>
  <si>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</si>
  <si>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</si>
  <si>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</si>
  <si>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</si>
  <si>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</si>
  <si>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</si>
  <si>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</si>
  <si>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</si>
  <si>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</si>
  <si>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</si>
  <si>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</si>
  <si>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</si>
  <si>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</si>
  <si>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</si>
  <si>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</si>
  <si>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</si>
  <si>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</si>
  <si>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</si>
  <si>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</si>
  <si>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</si>
  <si>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</si>
  <si>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</si>
  <si>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</si>
  <si>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</si>
  <si>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</si>
  <si>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</si>
  <si>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</si>
  <si>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</si>
  <si>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</si>
  <si>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</si>
  <si>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</si>
  <si>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</si>
  <si>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</si>
  <si>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</si>
  <si>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</si>
  <si>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</si>
  <si>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</si>
  <si>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</si>
  <si>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</si>
  <si>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</si>
  <si>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</si>
  <si>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</si>
  <si>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</si>
  <si>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</si>
  <si>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</si>
  <si>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</si>
  <si>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</si>
  <si>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</si>
  <si>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</si>
  <si>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</si>
  <si>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</si>
  <si>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</si>
  <si>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</si>
  <si>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</si>
  <si>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</si>
  <si>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</si>
  <si>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</si>
  <si>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</si>
  <si>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</si>
  <si>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</si>
  <si>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</si>
  <si>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</si>
  <si>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</si>
  <si>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</si>
  <si>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</si>
  <si>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</si>
  <si>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</si>
  <si>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</si>
  <si>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</si>
  <si>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</si>
  <si>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</si>
  <si>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</si>
  <si>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</si>
  <si>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</si>
  <si>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</si>
  <si>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</si>
  <si>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</si>
  <si>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</si>
  <si>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</si>
  <si>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</si>
  <si>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</si>
  <si>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</si>
  <si>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</si>
  <si>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</si>
  <si>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</si>
  <si>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</si>
  <si>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</si>
  <si>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</si>
  <si>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</si>
  <si>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</si>
  <si>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</si>
  <si>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</si>
  <si>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</si>
  <si>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</si>
  <si>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</si>
  <si>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</si>
  <si>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</si>
  <si>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</si>
  <si>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</si>
  <si>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</si>
  <si>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</si>
  <si>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</si>
  <si>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</si>
  <si>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</si>
  <si>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</si>
  <si>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</si>
  <si>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</si>
  <si>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</si>
  <si>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</si>
  <si>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</si>
  <si>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</si>
  <si>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</si>
  <si>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</si>
  <si>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</si>
  <si>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</si>
  <si>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</si>
  <si>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</si>
  <si>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</si>
  <si>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</si>
  <si>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</si>
  <si>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</si>
  <si>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</si>
  <si>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</si>
  <si>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</si>
  <si>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</si>
  <si>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</si>
  <si>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</si>
  <si>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</si>
  <si>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</si>
  <si>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</si>
  <si>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</si>
  <si>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</si>
  <si>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</si>
  <si>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</si>
  <si>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</si>
  <si>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</si>
  <si>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</si>
  <si>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</si>
  <si>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</si>
  <si>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</si>
  <si>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</si>
  <si>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</si>
  <si>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</si>
  <si>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</si>
  <si>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</si>
  <si>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</si>
  <si>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</si>
  <si>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</si>
  <si>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</si>
  <si>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</si>
  <si>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</si>
  <si>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</si>
  <si>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</si>
  <si>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</si>
  <si>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</si>
  <si>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</si>
  <si>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</si>
  <si>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</si>
  <si>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</si>
  <si>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</si>
  <si>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</si>
  <si>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</si>
  <si>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</si>
  <si>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</si>
  <si>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</si>
  <si>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</si>
  <si>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</si>
  <si>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</si>
  <si>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</si>
  <si>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</si>
  <si>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</si>
  <si>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</si>
  <si>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</si>
  <si>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</si>
  <si>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</si>
  <si>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</si>
  <si>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</si>
  <si>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</si>
  <si>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</si>
  <si>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</si>
  <si>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</si>
  <si>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</si>
  <si>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</si>
  <si>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</si>
  <si>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</si>
  <si>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</si>
  <si>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</si>
  <si>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</si>
  <si>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</si>
  <si>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</si>
  <si>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</si>
  <si>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</si>
  <si>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</si>
  <si>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</si>
  <si>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</si>
  <si>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</si>
  <si>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</si>
  <si>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</si>
  <si>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</si>
  <si>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</si>
  <si>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</si>
  <si>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</si>
  <si>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</si>
  <si>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</si>
  <si>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</si>
  <si>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</si>
  <si>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</si>
  <si>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</si>
  <si>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</si>
  <si>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</si>
  <si>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</si>
  <si>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</si>
  <si>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</si>
  <si>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</si>
  <si>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</si>
  <si>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</si>
  <si>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</si>
  <si>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</si>
  <si>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</si>
  <si>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</si>
  <si>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</si>
  <si>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</si>
  <si>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</si>
  <si>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</si>
  <si>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</si>
  <si>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</si>
  <si>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</si>
  <si>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</si>
  <si>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</si>
  <si>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</si>
  <si>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</si>
  <si>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</si>
  <si>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</si>
  <si>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</si>
  <si>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</si>
  <si>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</si>
  <si>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</si>
  <si>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</si>
  <si>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</si>
  <si>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</si>
  <si>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</si>
  <si>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</si>
  <si>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</si>
  <si>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</si>
  <si>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</si>
  <si>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</si>
  <si>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</si>
  <si>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</si>
  <si>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</si>
  <si>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</si>
  <si>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</si>
  <si>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</si>
  <si>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</si>
  <si>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</si>
  <si>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</si>
  <si>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</si>
  <si>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</si>
  <si>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</si>
  <si>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</si>
  <si>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</si>
  <si>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</si>
  <si>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</si>
  <si>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</si>
  <si>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</si>
  <si>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</si>
  <si>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</si>
  <si>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</si>
  <si>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</si>
  <si>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</si>
  <si>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</si>
  <si>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</si>
  <si>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</si>
  <si>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</si>
  <si>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</si>
  <si>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</si>
  <si>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</si>
  <si>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</si>
  <si>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</si>
  <si>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</si>
  <si>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</si>
  <si>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</si>
  <si>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</si>
  <si>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</si>
  <si>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</si>
  <si>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</si>
  <si>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</si>
  <si>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</si>
  <si>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</si>
  <si>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</si>
  <si>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</si>
  <si>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</si>
  <si>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</si>
  <si>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</si>
  <si>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</si>
  <si>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</si>
  <si>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</si>
  <si>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</si>
  <si>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</si>
  <si>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</si>
  <si>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</si>
  <si>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</si>
  <si>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</si>
  <si>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</si>
  <si>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</si>
  <si>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</si>
  <si>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</si>
  <si>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</si>
  <si>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</si>
  <si>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</si>
  <si>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</si>
  <si>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</si>
  <si>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</si>
  <si>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</si>
  <si>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</si>
  <si>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</si>
  <si>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</si>
  <si>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</si>
  <si>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</si>
  <si>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</si>
  <si>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</si>
  <si>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</si>
  <si>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</si>
  <si>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</si>
  <si>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</si>
  <si>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</si>
  <si>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</si>
  <si>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</si>
  <si>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</si>
  <si>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</si>
  <si>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</si>
  <si>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</si>
  <si>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</si>
  <si>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</si>
  <si>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</si>
  <si>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</si>
  <si>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</si>
  <si>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</si>
  <si>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</si>
  <si>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</si>
  <si>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</si>
  <si>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</si>
  <si>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</si>
  <si>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</si>
  <si>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</si>
  <si>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</si>
  <si>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</si>
  <si>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</si>
  <si>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</si>
  <si>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</si>
  <si>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</si>
  <si>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</si>
  <si>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</si>
  <si>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</si>
  <si>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</si>
  <si>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</si>
  <si>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</si>
  <si>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</si>
  <si>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</si>
  <si>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</si>
  <si>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</si>
  <si>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</si>
  <si>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</si>
  <si>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</si>
  <si>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</si>
  <si>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</si>
  <si>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</si>
  <si>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</si>
  <si>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</si>
  <si>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</si>
  <si>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</si>
  <si>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</si>
  <si>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</si>
  <si>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</si>
  <si>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</si>
  <si>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</si>
  <si>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</si>
  <si>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</si>
  <si>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</si>
  <si>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</si>
  <si>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</si>
  <si>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</si>
  <si>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</si>
  <si>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</si>
  <si>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</si>
  <si>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</si>
  <si>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</si>
  <si>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</si>
  <si>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</si>
  <si>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</si>
  <si>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</si>
  <si>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</si>
  <si>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</si>
  <si>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</si>
  <si>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</si>
  <si>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</si>
  <si>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</si>
  <si>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</si>
  <si>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</si>
  <si>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</si>
  <si>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</si>
  <si>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</si>
  <si>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</si>
  <si>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</si>
  <si>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</si>
  <si>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</si>
  <si>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</si>
  <si>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</si>
  <si>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</si>
  <si>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</si>
  <si>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</si>
  <si>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</si>
  <si>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</si>
  <si>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</si>
  <si>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</si>
  <si>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</si>
  <si>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</si>
  <si>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</si>
  <si>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</si>
  <si>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</si>
  <si>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</si>
  <si>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</si>
  <si>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</si>
  <si>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</si>
  <si>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</si>
  <si>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</si>
  <si>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</si>
  <si>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</si>
  <si>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</si>
  <si>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</si>
  <si>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</si>
  <si>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</si>
  <si>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</si>
  <si>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</si>
  <si>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</si>
  <si>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</si>
  <si>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</si>
  <si>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</si>
  <si>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</si>
  <si>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</si>
  <si>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</si>
  <si>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</si>
  <si>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</si>
  <si>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</si>
  <si>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</si>
  <si>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</si>
  <si>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</si>
  <si>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</si>
  <si>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</si>
  <si>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</si>
  <si>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</si>
  <si>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</si>
  <si>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</si>
  <si>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</si>
  <si>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</si>
  <si>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</si>
  <si>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</si>
  <si>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</si>
  <si>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</si>
  <si>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</si>
  <si>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</si>
  <si>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</si>
  <si>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</si>
  <si>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</si>
  <si>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</si>
  <si>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</si>
  <si>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</si>
  <si>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</si>
  <si>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</si>
  <si>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</si>
  <si>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</si>
  <si>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</si>
  <si>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</si>
  <si>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</si>
  <si>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</si>
  <si>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</si>
  <si>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</si>
  <si>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</si>
  <si>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</si>
  <si>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</si>
  <si>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</si>
  <si>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</si>
  <si>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</si>
  <si>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</si>
  <si>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</si>
  <si>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</si>
  <si>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</si>
  <si>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</si>
  <si>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</si>
  <si>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</si>
  <si>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</si>
  <si>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</si>
  <si>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</si>
  <si>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</si>
  <si>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</si>
  <si>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</si>
  <si>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</si>
  <si>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</si>
  <si>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</si>
  <si>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</si>
  <si>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</si>
  <si>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</si>
  <si>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</si>
  <si>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</si>
  <si>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</si>
  <si>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</si>
  <si>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</si>
  <si>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</si>
  <si>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</si>
  <si>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</si>
  <si>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</si>
  <si>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</si>
  <si>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</si>
  <si>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</si>
  <si>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</si>
  <si>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</si>
  <si>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</si>
  <si>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</si>
  <si>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</si>
  <si>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</si>
  <si>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</si>
  <si>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</si>
  <si>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</si>
  <si>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</si>
  <si>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</si>
  <si>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</si>
  <si>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</si>
  <si>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</si>
  <si>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</si>
  <si>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</si>
  <si>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</si>
  <si>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</si>
  <si>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</si>
  <si>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</si>
  <si>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</si>
  <si>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</si>
  <si>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</si>
  <si>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</si>
  <si>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</si>
  <si>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</si>
  <si>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</si>
  <si>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</si>
  <si>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</si>
  <si>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</si>
  <si>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</si>
  <si>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</si>
  <si>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</si>
  <si>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</si>
  <si>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</si>
  <si>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</si>
  <si>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</si>
  <si>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</si>
  <si>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</si>
  <si>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</si>
  <si>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</si>
  <si>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</si>
  <si>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</si>
  <si>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</si>
  <si>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</si>
  <si>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</si>
  <si>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</si>
  <si>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</si>
  <si>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</si>
  <si>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</si>
  <si>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</si>
  <si>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</si>
  <si>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</si>
  <si>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</si>
  <si>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</si>
  <si>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</si>
  <si>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</si>
  <si>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</si>
  <si>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</si>
  <si>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</si>
  <si>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</si>
  <si>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</si>
  <si>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</si>
  <si>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</si>
  <si>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</si>
  <si>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</si>
  <si>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</si>
  <si>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</si>
  <si>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</si>
  <si>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</si>
  <si>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</si>
  <si>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</si>
  <si>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</si>
  <si>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</si>
  <si>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</si>
  <si>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</si>
  <si>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</si>
  <si>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</si>
  <si>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</si>
  <si>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</si>
  <si>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</si>
  <si>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</si>
  <si>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</si>
  <si>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</si>
  <si>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</si>
  <si>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</si>
  <si>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</si>
  <si>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</si>
  <si>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</si>
  <si>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</si>
  <si>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</si>
  <si>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</si>
  <si>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</si>
  <si>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</si>
  <si>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</si>
  <si>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</si>
  <si>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</si>
  <si>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</si>
  <si>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</si>
  <si>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</si>
  <si>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</si>
  <si>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</si>
  <si>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</si>
  <si>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</si>
  <si>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</si>
  <si>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</si>
  <si>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</si>
  <si>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</si>
  <si>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</si>
  <si>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</si>
  <si>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</si>
  <si>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</si>
  <si>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</si>
  <si>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</si>
  <si>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</si>
  <si>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</si>
  <si>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</si>
  <si>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</si>
  <si>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</si>
  <si>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</si>
  <si>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</si>
  <si>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</si>
  <si>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</si>
  <si>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</si>
  <si>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</si>
  <si>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</si>
  <si>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</si>
  <si>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</si>
  <si>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</si>
  <si>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</si>
  <si>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</si>
  <si>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</si>
  <si>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</si>
  <si>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</si>
  <si>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</si>
  <si>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</si>
  <si>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</si>
  <si>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</si>
  <si>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</si>
  <si>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</si>
  <si>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</si>
  <si>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</si>
  <si>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</si>
  <si>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</si>
  <si>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</si>
  <si>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</si>
  <si>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</si>
  <si>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</si>
  <si>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</si>
  <si>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</si>
  <si>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</si>
  <si>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</si>
  <si>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</si>
  <si>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</si>
  <si>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</si>
  <si>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</si>
  <si>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</si>
  <si>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</si>
  <si>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</si>
  <si>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</si>
  <si>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</si>
  <si>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</si>
  <si>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</si>
  <si>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</si>
  <si>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</si>
  <si>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</si>
  <si>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</si>
  <si>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</si>
  <si>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</si>
  <si>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</si>
  <si>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</si>
  <si>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</si>
  <si>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</si>
  <si>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</si>
  <si>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</si>
  <si>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</si>
  <si>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</si>
  <si>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</si>
  <si>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</si>
  <si>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</si>
  <si>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</si>
  <si>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</si>
  <si>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</si>
  <si>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</si>
  <si>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</si>
  <si>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</si>
  <si>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</si>
  <si>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</si>
  <si>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</si>
  <si>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</si>
  <si>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</si>
  <si>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</si>
  <si>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</si>
  <si>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</si>
  <si>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</si>
  <si>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</si>
  <si>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</si>
  <si>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</si>
  <si>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</si>
  <si>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</si>
  <si>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</si>
  <si>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</si>
  <si>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</si>
  <si>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</si>
  <si>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</si>
  <si>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</si>
  <si>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</si>
  <si>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</si>
  <si>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</si>
  <si>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</si>
  <si>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</si>
  <si>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</si>
  <si>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</si>
  <si>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</si>
  <si>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</si>
  <si>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</si>
  <si>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</si>
  <si>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</si>
  <si>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</si>
  <si>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</si>
  <si>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</si>
  <si>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</si>
  <si>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</si>
  <si>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</si>
  <si>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</si>
  <si>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</si>
  <si>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</si>
  <si>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</si>
  <si>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</si>
  <si>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</si>
  <si>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</si>
  <si>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</si>
  <si>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</si>
  <si>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</si>
  <si>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</si>
  <si>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</si>
  <si>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SPS4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</si>
  <si>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</si>
  <si>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</si>
  <si>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Cars stock additions additions</t>
  </si>
  <si>
    <t>New car registrations - the number in a year is cummulative registrations for the period represented under this year</t>
  </si>
  <si>
    <t>Urban buses stock additions</t>
  </si>
  <si>
    <t>New urban buses registrations - the number in a year is cummulative registrations for the period represented under this year</t>
  </si>
  <si>
    <t>Coaches stock additions</t>
  </si>
  <si>
    <t>New coaches registrations - the number in a year is cummulative registrations for the period represented under this year</t>
  </si>
  <si>
    <t>Light duty vehicles stock additions</t>
  </si>
  <si>
    <t>New light duty vehicle registrations - the number in a year is cummulative registrations for the period represented under this year</t>
  </si>
  <si>
    <t>Heavy duty vehicles stock additions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</si>
  <si>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</si>
  <si>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</si>
  <si>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Newly installed capacity  - the capacity additions are reported for the whole period represented under the milestone year</t>
  </si>
  <si>
    <t>Process and space heating capacity additions in industry sectors</t>
  </si>
  <si>
    <t>Space water and process heat boiler capacity additions in Services sectors</t>
  </si>
  <si>
    <t>Domestic hydrogen production capacity additions</t>
  </si>
  <si>
    <t>Other fuel synthesis capacity additions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</si>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</sst>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0.00000"/>
    <numFmt numFmtId="169" formatCode="_-[$€-2]* #,##0.00_-;\-[$€-2]* #,##0.00_-;_-[$€-2]* &quot;-&quot;??_-"/>
    <numFmt numFmtId="170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0" fillId="22" borderId="11" applyNumberFormat="0" applyFon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22" borderId="11" applyNumberFormat="0" applyFon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7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9" fontId="0" fillId="0" borderId="0" xfId="1" applyFont="1"/>
    <xf numFmtId="0" fontId="4" fillId="0" borderId="0" xfId="0" applyFont="1"/>
    <xf numFmtId="165" fontId="4" fillId="0" borderId="0" xfId="0" quotePrefix="1" applyNumberFormat="1" applyFont="1"/>
    <xf numFmtId="2" fontId="0" fillId="0" borderId="0" xfId="0" applyNumberFormat="1"/>
    <xf numFmtId="166" fontId="0" fillId="0" borderId="0" xfId="0" applyNumberFormat="1"/>
    <xf numFmtId="0" fontId="5" fillId="0" borderId="0" xfId="0" applyFont="1"/>
    <xf numFmtId="165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5" fontId="1" fillId="0" borderId="0" xfId="1" applyNumberFormat="1" applyFont="1"/>
    <xf numFmtId="165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165" fontId="0" fillId="0" borderId="0" xfId="0" quotePrefix="1" applyNumberFormat="1"/>
    <xf numFmtId="165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P07%20integrated%20modelling/STEM_Results/sps4_bau_bs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</sheetNames>
    <sheetDataSet>
      <sheetData sheetId="0">
        <row r="1">
          <cell r="B1"/>
          <cell r="C1"/>
          <cell r="E1"/>
          <cell r="F1"/>
          <cell r="G1"/>
          <cell r="H1"/>
          <cell r="I1"/>
          <cell r="J1"/>
        </row>
        <row r="2">
          <cell r="B2"/>
          <cell r="C2"/>
          <cell r="D2"/>
          <cell r="E2"/>
          <cell r="F2"/>
          <cell r="G2"/>
          <cell r="H2"/>
          <cell r="I2"/>
          <cell r="J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2040</v>
          </cell>
          <cell r="J3" t="str">
            <v>2050</v>
          </cell>
        </row>
        <row r="4">
          <cell r="B4" t="str">
            <v>EHYD-DAM15</v>
          </cell>
          <cell r="C4" t="str">
            <v>VAR_fout</v>
          </cell>
          <cell r="D4" t="str">
            <v>ELC</v>
          </cell>
          <cell r="F4">
            <v>3.277015476198796E-3</v>
          </cell>
          <cell r="G4">
            <v>3.8449582123308954E-3</v>
          </cell>
          <cell r="H4">
            <v>3.8764505302820306E-3</v>
          </cell>
          <cell r="I4">
            <v>0.39389142092480967</v>
          </cell>
          <cell r="J4">
            <v>2.7089769715376382</v>
          </cell>
        </row>
        <row r="5">
          <cell r="B5" t="str">
            <v>EHYD-DAM15</v>
          </cell>
          <cell r="C5" t="str">
            <v>VAR_fin</v>
          </cell>
          <cell r="D5" t="str">
            <v>HYDD</v>
          </cell>
          <cell r="F5">
            <v>3.277015476198796E-3</v>
          </cell>
          <cell r="G5">
            <v>3.8449582123308954E-3</v>
          </cell>
          <cell r="H5">
            <v>3.8764505302820306E-3</v>
          </cell>
          <cell r="I5">
            <v>0.39389142092480967</v>
          </cell>
          <cell r="J5">
            <v>2.7089769715376382</v>
          </cell>
        </row>
        <row r="6">
          <cell r="B6" t="str">
            <v>EHYD-DAM15</v>
          </cell>
          <cell r="C6" t="str">
            <v>VAR_ncap</v>
          </cell>
          <cell r="D6" t="str">
            <v>-</v>
          </cell>
          <cell r="F6">
            <v>4.08952382001122E-4</v>
          </cell>
          <cell r="G6">
            <v>2.0576500072353899E-6</v>
          </cell>
          <cell r="H6">
            <v>3.9394647117989103E-2</v>
          </cell>
          <cell r="I6">
            <v>0.129514710121024</v>
          </cell>
          <cell r="J6">
            <v>0.45045253307934702</v>
          </cell>
        </row>
        <row r="7">
          <cell r="B7" t="str">
            <v>EHYD-DAM15</v>
          </cell>
          <cell r="C7" t="str">
            <v>VAR_cap</v>
          </cell>
          <cell r="D7" t="str">
            <v>-</v>
          </cell>
          <cell r="F7">
            <v>4.08952382001122E-4</v>
          </cell>
          <cell r="G7">
            <v>4.08952382001122E-4</v>
          </cell>
          <cell r="H7">
            <v>4.08952382001122E-4</v>
          </cell>
          <cell r="I7">
            <v>3.9805657149997502E-2</v>
          </cell>
          <cell r="J7">
            <v>0.315780362201526</v>
          </cell>
        </row>
        <row r="8">
          <cell r="B8" t="str">
            <v>D-RPLT</v>
          </cell>
          <cell r="C8" t="str">
            <v>VAR_fout</v>
          </cell>
          <cell r="D8" t="str">
            <v>RPLT</v>
          </cell>
          <cell r="E8">
            <v>3.268250990696004</v>
          </cell>
          <cell r="F8">
            <v>3.8320034359212261</v>
          </cell>
          <cell r="G8">
            <v>0.69141094947495163</v>
          </cell>
          <cell r="H8">
            <v>1.0933956567716556</v>
          </cell>
          <cell r="I8">
            <v>1.5591394122237847</v>
          </cell>
          <cell r="J8">
            <v>1.9232390111115258</v>
          </cell>
        </row>
        <row r="9">
          <cell r="B9" t="str">
            <v>D-RPLT</v>
          </cell>
          <cell r="C9" t="str">
            <v>VAR_fin</v>
          </cell>
          <cell r="D9" t="str">
            <v>PLT</v>
          </cell>
          <cell r="E9">
            <v>3.268250990696004</v>
          </cell>
          <cell r="F9">
            <v>3.8320034359212261</v>
          </cell>
          <cell r="G9">
            <v>0.69141094947495163</v>
          </cell>
          <cell r="H9">
            <v>1.0933956567716556</v>
          </cell>
          <cell r="I9">
            <v>1.5591394122237847</v>
          </cell>
          <cell r="J9">
            <v>1.9232390111115258</v>
          </cell>
        </row>
        <row r="10">
          <cell r="B10" t="str">
            <v>ITOT-CHPNGA</v>
          </cell>
          <cell r="C10" t="str">
            <v>VAR_fout</v>
          </cell>
          <cell r="D10" t="str">
            <v>ITOT_NKEV_GAS_ELC_CHP</v>
          </cell>
          <cell r="E10">
            <v>0.66998788476074311</v>
          </cell>
          <cell r="F10">
            <v>9.0401920171345143E-2</v>
          </cell>
          <cell r="G10">
            <v>6.4727424723071594E-2</v>
          </cell>
          <cell r="H10">
            <v>0.41487864197067348</v>
          </cell>
          <cell r="I10">
            <v>5.9050314483615834E-2</v>
          </cell>
          <cell r="J10">
            <v>1.2759454390333283E-2</v>
          </cell>
        </row>
        <row r="11">
          <cell r="B11" t="str">
            <v>ITOT-CHPNGA</v>
          </cell>
          <cell r="C11" t="str">
            <v>VAR_fout</v>
          </cell>
          <cell r="D11" t="str">
            <v>ITOT_LTH_CHP</v>
          </cell>
          <cell r="E11">
            <v>2.0850969535004324</v>
          </cell>
          <cell r="F11">
            <v>0.26344818750611104</v>
          </cell>
          <cell r="G11">
            <v>0.16940836917260718</v>
          </cell>
          <cell r="H11">
            <v>0.88052792857904327</v>
          </cell>
          <cell r="I11">
            <v>6.688086431111355E-2</v>
          </cell>
          <cell r="J11">
            <v>1.4102554852473671E-2</v>
          </cell>
        </row>
        <row r="12">
          <cell r="B12" t="str">
            <v>ITOT-CHPNGA</v>
          </cell>
          <cell r="C12" t="str">
            <v>VAR_fout</v>
          </cell>
          <cell r="D12" t="str">
            <v>CO2_I</v>
          </cell>
          <cell r="E12">
            <v>108.35299291924601</v>
          </cell>
          <cell r="F12">
            <v>14.494428805860601</v>
          </cell>
          <cell r="G12">
            <v>10.4194003069563</v>
          </cell>
          <cell r="H12">
            <v>65.007015848807001</v>
          </cell>
          <cell r="I12">
            <v>9.3570223929895207</v>
          </cell>
          <cell r="J12">
            <v>2.0253866573327501</v>
          </cell>
        </row>
        <row r="13">
          <cell r="B13" t="str">
            <v>ITOT-CHPNGA</v>
          </cell>
          <cell r="C13" t="str">
            <v>VAR_fin</v>
          </cell>
          <cell r="D13" t="str">
            <v>INGA</v>
          </cell>
          <cell r="E13">
            <v>1.9211523567242148</v>
          </cell>
          <cell r="F13">
            <v>0.25699341854362817</v>
          </cell>
          <cell r="G13">
            <v>0.18474114019425991</v>
          </cell>
          <cell r="H13">
            <v>1.1526066639859367</v>
          </cell>
          <cell r="I13">
            <v>0.16590465235797031</v>
          </cell>
          <cell r="J13">
            <v>3.591111094561604E-2</v>
          </cell>
        </row>
        <row r="14">
          <cell r="B14" t="str">
            <v>ITOT-CHPNGA</v>
          </cell>
          <cell r="C14" t="str">
            <v>VAR_ncap</v>
          </cell>
          <cell r="D14" t="str">
            <v>-</v>
          </cell>
          <cell r="F14">
            <v>4.3000534295831901E-7</v>
          </cell>
          <cell r="G14">
            <v>3.5238759431125202E-6</v>
          </cell>
          <cell r="H14">
            <v>1.11828775409269E-2</v>
          </cell>
          <cell r="I14">
            <v>3.1315917654282699E-6</v>
          </cell>
          <cell r="J14">
            <v>7.0447424932504601E-5</v>
          </cell>
        </row>
        <row r="15">
          <cell r="B15" t="str">
            <v>ITOT-CHPNGA</v>
          </cell>
          <cell r="C15" t="str">
            <v>VAR_cap</v>
          </cell>
          <cell r="D15" t="str">
            <v>-</v>
          </cell>
          <cell r="E15">
            <v>2.9069093609261402E-2</v>
          </cell>
          <cell r="F15">
            <v>2.1499696599049559E-2</v>
          </cell>
          <cell r="G15">
            <v>1.5392475771116076E-2</v>
          </cell>
          <cell r="H15">
            <v>1.5858212465711299E-2</v>
          </cell>
          <cell r="I15">
            <v>1.1190315526737408E-2</v>
          </cell>
          <cell r="J15">
            <v>2.9819573481154062E-3</v>
          </cell>
        </row>
        <row r="16">
          <cell r="B16" t="str">
            <v>G-INTC-IMP00-IT</v>
          </cell>
          <cell r="C16" t="str">
            <v>VAR_fout</v>
          </cell>
          <cell r="D16" t="str">
            <v>ELC</v>
          </cell>
          <cell r="E16">
            <v>6.7991009353552316</v>
          </cell>
          <cell r="F16">
            <v>4.0183642745675248E-4</v>
          </cell>
          <cell r="G16">
            <v>3.3175534906292856E-4</v>
          </cell>
          <cell r="H16">
            <v>1.4664551566064736E-4</v>
          </cell>
          <cell r="I16">
            <v>1.8731815769947017E-4</v>
          </cell>
          <cell r="J16">
            <v>1.6850812357608604E-4</v>
          </cell>
        </row>
        <row r="17">
          <cell r="B17" t="str">
            <v>G-INTC-IMP00-IT</v>
          </cell>
          <cell r="C17" t="str">
            <v>VAR_fin</v>
          </cell>
          <cell r="D17" t="str">
            <v>ELC_I-IT</v>
          </cell>
          <cell r="E17">
            <v>6.7991009353552316</v>
          </cell>
          <cell r="F17">
            <v>4.0183642745675248E-4</v>
          </cell>
          <cell r="G17">
            <v>3.3175534906292856E-4</v>
          </cell>
          <cell r="H17">
            <v>1.4664551566064736E-4</v>
          </cell>
          <cell r="I17">
            <v>1.8731815769947017E-4</v>
          </cell>
          <cell r="J17">
            <v>1.6850812357608604E-4</v>
          </cell>
        </row>
        <row r="18">
          <cell r="B18" t="str">
            <v>G-INTC-IMP00-IT</v>
          </cell>
          <cell r="C18" t="str">
            <v>VAR_ncap</v>
          </cell>
          <cell r="D18" t="str">
            <v>-</v>
          </cell>
          <cell r="E18">
            <v>5.9422329641214397E-7</v>
          </cell>
          <cell r="F18">
            <v>5.3303353499847303E-7</v>
          </cell>
          <cell r="G18">
            <v>5.8014626768939596E-7</v>
          </cell>
          <cell r="H18">
            <v>5.9642105452573498E-7</v>
          </cell>
          <cell r="I18">
            <v>8.7305004803315701E-7</v>
          </cell>
          <cell r="J18">
            <v>1.4467827491545499E-6</v>
          </cell>
        </row>
        <row r="19">
          <cell r="B19" t="str">
            <v>G-INTC-IMP00-IT</v>
          </cell>
          <cell r="C19" t="str">
            <v>VAR_cap</v>
          </cell>
          <cell r="D19" t="str">
            <v>-</v>
          </cell>
          <cell r="E19">
            <v>1.4622276052789522</v>
          </cell>
          <cell r="F19">
            <v>4.2327729948010706E-4</v>
          </cell>
          <cell r="G19">
            <v>4.0876367337006059E-4</v>
          </cell>
          <cell r="H19">
            <v>3.9171972147356016E-4</v>
          </cell>
          <cell r="I19">
            <v>3.8952831950367361E-4</v>
          </cell>
          <cell r="J19">
            <v>3.9030670438733317E-4</v>
          </cell>
        </row>
        <row r="20">
          <cell r="B20" t="str">
            <v>SCOM-EBAT</v>
          </cell>
          <cell r="C20" t="str">
            <v>VAR_fout</v>
          </cell>
          <cell r="D20" t="str">
            <v>AUX_SCOM-EBAT_OUT</v>
          </cell>
          <cell r="E20">
            <v>1.0178789636997724E-3</v>
          </cell>
          <cell r="F20">
            <v>1.0088670582659445E-3</v>
          </cell>
          <cell r="G20">
            <v>1.0117511040484994E-3</v>
          </cell>
          <cell r="H20">
            <v>3.2859918577346596E-2</v>
          </cell>
          <cell r="I20">
            <v>2.5776475457069268E-2</v>
          </cell>
          <cell r="J20">
            <v>1.6579699668835119E-2</v>
          </cell>
        </row>
        <row r="21">
          <cell r="B21" t="str">
            <v>SCOM-EBAT</v>
          </cell>
          <cell r="C21" t="str">
            <v>VAR_fout</v>
          </cell>
          <cell r="D21" t="str">
            <v>SCOM_ELC</v>
          </cell>
          <cell r="E21">
            <v>1.0178789636997715E-3</v>
          </cell>
          <cell r="F21">
            <v>1.008867058265944E-3</v>
          </cell>
          <cell r="G21">
            <v>1.0117511040484981E-3</v>
          </cell>
          <cell r="H21">
            <v>3.2859918577346561E-2</v>
          </cell>
          <cell r="I21">
            <v>2.5776475457069247E-2</v>
          </cell>
          <cell r="J21">
            <v>1.6579699668835109E-2</v>
          </cell>
        </row>
        <row r="22">
          <cell r="B22" t="str">
            <v>SCOM-EBAT</v>
          </cell>
          <cell r="C22" t="str">
            <v>VAR_fin</v>
          </cell>
          <cell r="D22" t="str">
            <v>AUX_SCOM-EBAT_IN</v>
          </cell>
          <cell r="E22">
            <v>1.14060818641731E-3</v>
          </cell>
          <cell r="F22">
            <v>1.127519239929818E-3</v>
          </cell>
          <cell r="G22">
            <v>1.119633353287412E-3</v>
          </cell>
          <cell r="H22">
            <v>3.6340820143720691E-2</v>
          </cell>
          <cell r="I22">
            <v>2.8506476954973017E-2</v>
          </cell>
          <cell r="J22">
            <v>1.8336513221779739E-2</v>
          </cell>
        </row>
        <row r="23">
          <cell r="B23" t="str">
            <v>SCOM-EBAT</v>
          </cell>
          <cell r="C23" t="str">
            <v>VAR_fin</v>
          </cell>
          <cell r="D23" t="str">
            <v>SCOM_ELC</v>
          </cell>
          <cell r="E23">
            <v>1.14060818641731E-3</v>
          </cell>
          <cell r="F23">
            <v>1.127519239929818E-3</v>
          </cell>
          <cell r="G23">
            <v>1.119633353287412E-3</v>
          </cell>
          <cell r="H23">
            <v>3.6340820143720691E-2</v>
          </cell>
          <cell r="I23">
            <v>2.8506476954973017E-2</v>
          </cell>
          <cell r="J23">
            <v>1.8336513221779739E-2</v>
          </cell>
        </row>
        <row r="24">
          <cell r="B24" t="str">
            <v>SCOM-EBAT</v>
          </cell>
          <cell r="C24" t="str">
            <v>VAR_ncap</v>
          </cell>
          <cell r="D24" t="str">
            <v>-</v>
          </cell>
          <cell r="E24">
            <v>4.1062546388968802E-4</v>
          </cell>
          <cell r="F24">
            <v>6.4418323040954197E-7</v>
          </cell>
          <cell r="G24">
            <v>1.7197391996137701E-6</v>
          </cell>
          <cell r="H24">
            <v>1.6736183557014301E-2</v>
          </cell>
          <cell r="I24">
            <v>7.1767796317218002E-3</v>
          </cell>
          <cell r="J24">
            <v>3.1180964652471302E-3</v>
          </cell>
        </row>
        <row r="25">
          <cell r="B25" t="str">
            <v>SCOM-EBAT</v>
          </cell>
          <cell r="C25" t="str">
            <v>VAR_cap</v>
          </cell>
          <cell r="D25" t="str">
            <v>-</v>
          </cell>
          <cell r="E25">
            <v>4.1296085516919769E-4</v>
          </cell>
          <cell r="F25">
            <v>4.133697810168763E-4</v>
          </cell>
          <cell r="G25">
            <v>4.1469170477611579E-4</v>
          </cell>
          <cell r="H25">
            <v>1.7038242349133533E-2</v>
          </cell>
          <cell r="I25">
            <v>1.0568689469758516E-2</v>
          </cell>
          <cell r="J25">
            <v>6.7921302944734868E-3</v>
          </cell>
        </row>
        <row r="26">
          <cell r="B26" t="str">
            <v>SCOM-SWHSTG-CHPNGA</v>
          </cell>
          <cell r="C26" t="str">
            <v>VAR_fout</v>
          </cell>
          <cell r="D26" t="str">
            <v>SCOM_LTH_CHPNGA</v>
          </cell>
          <cell r="E26">
            <v>5.0782044853366751E-5</v>
          </cell>
          <cell r="F26">
            <v>8.395821815425082E-5</v>
          </cell>
          <cell r="G26">
            <v>0.10714664123685612</v>
          </cell>
          <cell r="H26">
            <v>0.14801467014597483</v>
          </cell>
          <cell r="I26">
            <v>0.53907001426027601</v>
          </cell>
          <cell r="J26">
            <v>170.62227220364505</v>
          </cell>
        </row>
        <row r="27">
          <cell r="B27" t="str">
            <v>SCOM-SWHSTG-CHPNGA</v>
          </cell>
          <cell r="C27" t="str">
            <v>VAR_fout</v>
          </cell>
          <cell r="D27" t="str">
            <v>AUX_SCOM-CHPNGA_OUT</v>
          </cell>
          <cell r="E27">
            <v>5.0782044853366649E-5</v>
          </cell>
          <cell r="F27">
            <v>8.3889649347632003E-5</v>
          </cell>
          <cell r="G27">
            <v>0.10700997460262547</v>
          </cell>
          <cell r="H27">
            <v>0.14801467014597516</v>
          </cell>
          <cell r="I27">
            <v>0.53907001426027645</v>
          </cell>
          <cell r="J27">
            <v>170.62227220364508</v>
          </cell>
        </row>
        <row r="28">
          <cell r="B28" t="str">
            <v>SCOM-SWHSTG-CHPNGA</v>
          </cell>
          <cell r="C28" t="str">
            <v>VAR_fin</v>
          </cell>
          <cell r="D28" t="str">
            <v>SCOM_LTH_CHPNGA</v>
          </cell>
          <cell r="E28">
            <v>5.3898024365248959E-5</v>
          </cell>
          <cell r="F28">
            <v>1.041273769627169E-4</v>
          </cell>
          <cell r="G28">
            <v>0.12754599775009362</v>
          </cell>
          <cell r="H28">
            <v>0.1701172274443023</v>
          </cell>
          <cell r="I28">
            <v>0.579643271081973</v>
          </cell>
          <cell r="J28">
            <v>172.34573607419873</v>
          </cell>
        </row>
        <row r="29">
          <cell r="B29" t="str">
            <v>SCOM-SWHSTG-CHPNGA</v>
          </cell>
          <cell r="C29" t="str">
            <v>VAR_fin</v>
          </cell>
          <cell r="D29" t="str">
            <v>AUX_SCOM-CHPNGA_IN</v>
          </cell>
          <cell r="E29">
            <v>5.3898024365248959E-5</v>
          </cell>
          <cell r="F29">
            <v>1.041273769627169E-4</v>
          </cell>
          <cell r="G29">
            <v>0.12754599775009362</v>
          </cell>
          <cell r="H29">
            <v>0.1701172274443023</v>
          </cell>
          <cell r="I29">
            <v>0.579643271081973</v>
          </cell>
          <cell r="J29">
            <v>172.34573607419873</v>
          </cell>
        </row>
        <row r="30">
          <cell r="B30" t="str">
            <v>SCOM-SWHSTG-CHPNGA</v>
          </cell>
          <cell r="C30" t="str">
            <v>VAR_ncap</v>
          </cell>
          <cell r="D30" t="str">
            <v>-</v>
          </cell>
          <cell r="E30">
            <v>2.6800416918038002E-3</v>
          </cell>
          <cell r="F30">
            <v>3.4466402608463602E-5</v>
          </cell>
          <cell r="G30">
            <v>4.0542040650285403E-3</v>
          </cell>
          <cell r="H30">
            <v>2.54445855472149E-3</v>
          </cell>
          <cell r="I30">
            <v>1.9606600174700499E-2</v>
          </cell>
          <cell r="J30">
            <v>10.583063364818299</v>
          </cell>
        </row>
        <row r="31">
          <cell r="B31" t="str">
            <v>SCOM-SWHSTG-CHPNGA</v>
          </cell>
          <cell r="C31" t="str">
            <v>VAR_cap</v>
          </cell>
          <cell r="D31" t="str">
            <v>-</v>
          </cell>
          <cell r="E31">
            <v>2.6800416918038002E-3</v>
          </cell>
          <cell r="F31">
            <v>2.7109997900228635E-3</v>
          </cell>
          <cell r="G31">
            <v>6.7556856302621498E-3</v>
          </cell>
          <cell r="H31">
            <v>9.2805856012118659E-3</v>
          </cell>
          <cell r="I31">
            <v>3.363522723389567E-2</v>
          </cell>
          <cell r="J31">
            <v>10.602188409542617</v>
          </cell>
        </row>
        <row r="32">
          <cell r="B32" t="str">
            <v>ITOT-EBAT</v>
          </cell>
          <cell r="C32" t="str">
            <v>VAR_fout</v>
          </cell>
          <cell r="D32" t="str">
            <v>AUX_ITOT-EBAT_OUT</v>
          </cell>
          <cell r="E32">
            <v>1.0137445914231052E-3</v>
          </cell>
          <cell r="F32">
            <v>1.0047477247253295E-3</v>
          </cell>
          <cell r="G32">
            <v>1.0062771728177624E-3</v>
          </cell>
          <cell r="H32">
            <v>3.3590841276339177E-2</v>
          </cell>
          <cell r="I32">
            <v>0.25749173705370615</v>
          </cell>
          <cell r="J32">
            <v>0.42489714576489646</v>
          </cell>
        </row>
        <row r="33">
          <cell r="B33" t="str">
            <v>ITOT-EBAT</v>
          </cell>
          <cell r="C33" t="str">
            <v>VAR_fout</v>
          </cell>
          <cell r="D33" t="str">
            <v>ITOT_ELC</v>
          </cell>
          <cell r="E33">
            <v>1.0137445914231039E-3</v>
          </cell>
          <cell r="F33">
            <v>1.0047477247253289E-3</v>
          </cell>
          <cell r="G33">
            <v>1.0062771728177615E-3</v>
          </cell>
          <cell r="H33">
            <v>3.359084127633917E-2</v>
          </cell>
          <cell r="I33">
            <v>0.25749173705370604</v>
          </cell>
          <cell r="J33">
            <v>0.42489714576489596</v>
          </cell>
        </row>
        <row r="34">
          <cell r="B34" t="str">
            <v>ITOT-EBAT</v>
          </cell>
          <cell r="C34" t="str">
            <v>VAR_fin</v>
          </cell>
          <cell r="D34" t="str">
            <v>ITOT_ELC</v>
          </cell>
          <cell r="E34">
            <v>1.1360361296614857E-3</v>
          </cell>
          <cell r="F34">
            <v>1.1230573869421851E-3</v>
          </cell>
          <cell r="G34">
            <v>1.1144356916349219E-3</v>
          </cell>
          <cell r="H34">
            <v>3.714723704236407E-2</v>
          </cell>
          <cell r="I34">
            <v>0.28475222753445173</v>
          </cell>
          <cell r="J34">
            <v>0.46988040259935943</v>
          </cell>
        </row>
        <row r="35">
          <cell r="B35" t="str">
            <v>ITOT-EBAT</v>
          </cell>
          <cell r="C35" t="str">
            <v>VAR_fin</v>
          </cell>
          <cell r="D35" t="str">
            <v>AUX_ITOT-EBAT_IN</v>
          </cell>
          <cell r="E35">
            <v>1.1360361296614857E-3</v>
          </cell>
          <cell r="F35">
            <v>1.1230573869421851E-3</v>
          </cell>
          <cell r="G35">
            <v>1.1144356916349219E-3</v>
          </cell>
          <cell r="H35">
            <v>3.714723704236407E-2</v>
          </cell>
          <cell r="I35">
            <v>0.28475222753445173</v>
          </cell>
          <cell r="J35">
            <v>0.46988040259935943</v>
          </cell>
        </row>
        <row r="36">
          <cell r="B36" t="str">
            <v>ITOT-EBAT</v>
          </cell>
          <cell r="C36" t="str">
            <v>VAR_ncap</v>
          </cell>
          <cell r="D36" t="str">
            <v>-</v>
          </cell>
          <cell r="E36">
            <v>4.0921194264676E-4</v>
          </cell>
          <cell r="F36">
            <v>6.4242104872523405E-7</v>
          </cell>
          <cell r="G36">
            <v>1.7098000690103599E-6</v>
          </cell>
          <cell r="H36">
            <v>1.8911747349399301E-2</v>
          </cell>
          <cell r="I36">
            <v>8.9916552576000994E-2</v>
          </cell>
          <cell r="J36">
            <v>0.12428152468563</v>
          </cell>
        </row>
        <row r="37">
          <cell r="B37" t="str">
            <v>ITOT-EBAT</v>
          </cell>
          <cell r="C37" t="str">
            <v>VAR_cap</v>
          </cell>
          <cell r="D37" t="str">
            <v>-</v>
          </cell>
          <cell r="E37">
            <v>4.1128930436867454E-4</v>
          </cell>
          <cell r="F37">
            <v>4.1169595112406992E-4</v>
          </cell>
          <cell r="G37">
            <v>4.1300735430558808E-4</v>
          </cell>
          <cell r="H37">
            <v>1.9212785566518922E-2</v>
          </cell>
          <cell r="I37">
            <v>0.12070794404073798</v>
          </cell>
          <cell r="J37">
            <v>0.17419066712255246</v>
          </cell>
        </row>
        <row r="38">
          <cell r="B38" t="str">
            <v>D-RES_LTH</v>
          </cell>
          <cell r="C38" t="str">
            <v>VAR_fout</v>
          </cell>
          <cell r="D38" t="str">
            <v>RHNS_LTH_DH</v>
          </cell>
          <cell r="F38">
            <v>5.4527305374933999E-2</v>
          </cell>
          <cell r="G38">
            <v>4.5180450414387232E-3</v>
          </cell>
          <cell r="H38">
            <v>7.121106754302658E-3</v>
          </cell>
          <cell r="I38">
            <v>1.1268314757990975E-2</v>
          </cell>
          <cell r="J38">
            <v>1.3955640530878452E-2</v>
          </cell>
        </row>
        <row r="39">
          <cell r="B39" t="str">
            <v>D-RES_LTH</v>
          </cell>
          <cell r="C39" t="str">
            <v>VAR_fout</v>
          </cell>
          <cell r="D39" t="str">
            <v>RHEM_LTH_DH</v>
          </cell>
          <cell r="E39">
            <v>3.4260647608292558</v>
          </cell>
          <cell r="F39">
            <v>3.8270412948519441</v>
          </cell>
          <cell r="G39">
            <v>4.9162557851376008</v>
          </cell>
          <cell r="H39">
            <v>5.4123474786288499</v>
          </cell>
          <cell r="I39">
            <v>5.604882186877381</v>
          </cell>
          <cell r="J39">
            <v>5.6673277800216884</v>
          </cell>
        </row>
        <row r="40">
          <cell r="B40" t="str">
            <v>D-RES_LTH</v>
          </cell>
          <cell r="C40" t="str">
            <v>VAR_fout</v>
          </cell>
          <cell r="D40" t="str">
            <v>RHES_LTH_DH</v>
          </cell>
          <cell r="E40">
            <v>3.1822354677682738</v>
          </cell>
          <cell r="F40">
            <v>3.5392130954309158</v>
          </cell>
          <cell r="G40">
            <v>1.5917256132109145</v>
          </cell>
          <cell r="H40">
            <v>1.7776105650866028</v>
          </cell>
          <cell r="I40">
            <v>1.8710004747898739</v>
          </cell>
          <cell r="J40">
            <v>1.9056950966739221</v>
          </cell>
        </row>
        <row r="41">
          <cell r="B41" t="str">
            <v>D-RES_LTH</v>
          </cell>
          <cell r="C41" t="str">
            <v>VAR_fout</v>
          </cell>
          <cell r="D41" t="str">
            <v>RHSA_LTH</v>
          </cell>
          <cell r="E41">
            <v>1.731711062735831</v>
          </cell>
          <cell r="F41">
            <v>1.895562150347414</v>
          </cell>
          <cell r="G41">
            <v>1.736966620376629</v>
          </cell>
          <cell r="H41">
            <v>0.71341904405576329</v>
          </cell>
          <cell r="I41">
            <v>5.2827757897331825E-4</v>
          </cell>
          <cell r="J41">
            <v>1.3215205892749585E-4</v>
          </cell>
        </row>
        <row r="42">
          <cell r="B42" t="str">
            <v>D-RES_LTH</v>
          </cell>
          <cell r="C42" t="str">
            <v>VAR_fout</v>
          </cell>
          <cell r="D42" t="str">
            <v>RHNM_LTH_DH</v>
          </cell>
          <cell r="F42">
            <v>0.35017102830435387</v>
          </cell>
          <cell r="G42">
            <v>6.5644925768868115E-2</v>
          </cell>
          <cell r="H42">
            <v>0.12191524370646675</v>
          </cell>
          <cell r="I42">
            <v>0.19423159140681345</v>
          </cell>
          <cell r="J42">
            <v>0.245912010630398</v>
          </cell>
        </row>
        <row r="43">
          <cell r="B43" t="str">
            <v>D-RES_LTH</v>
          </cell>
          <cell r="C43" t="str">
            <v>VAR_fin</v>
          </cell>
          <cell r="D43" t="str">
            <v>LTH</v>
          </cell>
          <cell r="E43">
            <v>9.2187405303822434</v>
          </cell>
          <cell r="F43">
            <v>10.684726466508334</v>
          </cell>
          <cell r="G43">
            <v>9.170475053991634</v>
          </cell>
          <cell r="H43">
            <v>8.8260073800889725</v>
          </cell>
          <cell r="I43">
            <v>8.3790624675063636</v>
          </cell>
          <cell r="J43">
            <v>8.4817555865555754</v>
          </cell>
        </row>
        <row r="44">
          <cell r="B44" t="str">
            <v>D-RES_LTH</v>
          </cell>
          <cell r="C44" t="str">
            <v>VAR_ncap</v>
          </cell>
          <cell r="D44" t="str">
            <v>-</v>
          </cell>
          <cell r="E44">
            <v>0.62767613235391895</v>
          </cell>
          <cell r="F44">
            <v>2.09956883630465E-6</v>
          </cell>
          <cell r="G44">
            <v>6.8171601588498896E-8</v>
          </cell>
          <cell r="H44">
            <v>7.91371307575691E-8</v>
          </cell>
          <cell r="I44">
            <v>1.4698755974575399E-7</v>
          </cell>
          <cell r="J44">
            <v>1.20178847265089E-7</v>
          </cell>
        </row>
        <row r="45">
          <cell r="B45" t="str">
            <v>D-RES_LTH</v>
          </cell>
          <cell r="C45" t="str">
            <v>VAR_cap</v>
          </cell>
          <cell r="D45" t="str">
            <v>-</v>
          </cell>
          <cell r="E45">
            <v>0.62767613235391895</v>
          </cell>
          <cell r="F45">
            <v>0.62767823192275496</v>
          </cell>
          <cell r="G45">
            <v>0.62767830009435699</v>
          </cell>
          <cell r="H45">
            <v>0.62767837923148795</v>
          </cell>
          <cell r="I45">
            <v>0.62767864703009302</v>
          </cell>
          <cell r="J45">
            <v>0.62767876720894</v>
          </cell>
        </row>
        <row r="46">
          <cell r="B46" t="str">
            <v>RHES-SHSTG-CHPNGA</v>
          </cell>
          <cell r="C46" t="str">
            <v>VAR_fout</v>
          </cell>
          <cell r="D46" t="str">
            <v>RHES_LTH_CHPNGA</v>
          </cell>
          <cell r="E46">
            <v>5.1799615807428135E-3</v>
          </cell>
          <cell r="F46">
            <v>1.5055898401503419E-4</v>
          </cell>
          <cell r="G46">
            <v>2.9025332125969527E-3</v>
          </cell>
          <cell r="H46">
            <v>2.8628166132399504E-3</v>
          </cell>
          <cell r="I46">
            <v>1.6013834154486678E-2</v>
          </cell>
          <cell r="J46">
            <v>1.5380620856364217E-2</v>
          </cell>
        </row>
        <row r="47">
          <cell r="B47" t="str">
            <v>RHES-SHSTG-CHPNGA</v>
          </cell>
          <cell r="C47" t="str">
            <v>VAR_fout</v>
          </cell>
          <cell r="D47" t="str">
            <v>AUX_RES_CHPNGA_OUT</v>
          </cell>
          <cell r="E47">
            <v>5.1799615807428291E-3</v>
          </cell>
          <cell r="F47">
            <v>1.504586782295482E-4</v>
          </cell>
          <cell r="G47">
            <v>2.8995128866733406E-3</v>
          </cell>
          <cell r="H47">
            <v>2.8628166132399504E-3</v>
          </cell>
          <cell r="I47">
            <v>1.601383415448673E-2</v>
          </cell>
          <cell r="J47">
            <v>1.5380620856364239E-2</v>
          </cell>
        </row>
        <row r="48">
          <cell r="B48" t="str">
            <v>RHES-SHSTG-CHPNGA</v>
          </cell>
          <cell r="C48" t="str">
            <v>VAR_fin</v>
          </cell>
          <cell r="D48" t="str">
            <v>RHES_LTH_CHPNGA</v>
          </cell>
          <cell r="E48">
            <v>6.9335644532958823E-3</v>
          </cell>
          <cell r="F48">
            <v>1.9801035337546852E-4</v>
          </cell>
          <cell r="G48">
            <v>3.7384735967382295E-3</v>
          </cell>
          <cell r="H48">
            <v>3.5818907562911399E-3</v>
          </cell>
          <cell r="I48">
            <v>1.8843173514167491E-2</v>
          </cell>
          <cell r="J48">
            <v>1.7092947355822018E-2</v>
          </cell>
        </row>
        <row r="49">
          <cell r="B49" t="str">
            <v>RHES-SHSTG-CHPNGA</v>
          </cell>
          <cell r="C49" t="str">
            <v>VAR_fin</v>
          </cell>
          <cell r="D49" t="str">
            <v>AUX_RES_CHPNGA_IN</v>
          </cell>
          <cell r="E49">
            <v>6.9335644532958823E-3</v>
          </cell>
          <cell r="F49">
            <v>1.9801035337546852E-4</v>
          </cell>
          <cell r="G49">
            <v>3.7384735967382295E-3</v>
          </cell>
          <cell r="H49">
            <v>3.5818907562911399E-3</v>
          </cell>
          <cell r="I49">
            <v>1.8843173514167491E-2</v>
          </cell>
          <cell r="J49">
            <v>1.7092947355822018E-2</v>
          </cell>
        </row>
        <row r="50">
          <cell r="B50" t="str">
            <v>RHES-SHSTG-CHPNGA</v>
          </cell>
          <cell r="C50" t="str">
            <v>VAR_ncap</v>
          </cell>
          <cell r="D50" t="str">
            <v>-</v>
          </cell>
          <cell r="E50">
            <v>1.93404063544858E-3</v>
          </cell>
          <cell r="F50">
            <v>2.60611523223268E-5</v>
          </cell>
          <cell r="G50">
            <v>2.33874578114667E-5</v>
          </cell>
          <cell r="H50">
            <v>1.48683160718328E-5</v>
          </cell>
          <cell r="I50">
            <v>1.4998211018187399E-4</v>
          </cell>
          <cell r="J50">
            <v>2.9239180485928997E-4</v>
          </cell>
        </row>
        <row r="51">
          <cell r="B51" t="str">
            <v>RHES-SHSTG-CHPNGA</v>
          </cell>
          <cell r="C51" t="str">
            <v>VAR_cap</v>
          </cell>
          <cell r="D51" t="str">
            <v>-</v>
          </cell>
          <cell r="E51">
            <v>1.93404063544858E-3</v>
          </cell>
          <cell r="F51">
            <v>1.9566485949951986E-3</v>
          </cell>
          <cell r="G51">
            <v>1.9699191703992903E-3</v>
          </cell>
          <cell r="H51">
            <v>1.9518987236034051E-3</v>
          </cell>
          <cell r="I51">
            <v>1.6466767610038991E-3</v>
          </cell>
          <cell r="J51">
            <v>1.024302744435145E-3</v>
          </cell>
        </row>
        <row r="52">
          <cell r="B52" t="str">
            <v>RHNS-CHPWOD</v>
          </cell>
          <cell r="C52" t="str">
            <v>VAR_fout</v>
          </cell>
          <cell r="D52" t="str">
            <v>RHNS_LTH_CHPWOD</v>
          </cell>
          <cell r="H52">
            <v>1.3227918634119411E-3</v>
          </cell>
          <cell r="I52">
            <v>1.5054357011230718E-3</v>
          </cell>
          <cell r="J52">
            <v>8.5326811734622867E-4</v>
          </cell>
        </row>
        <row r="53">
          <cell r="B53" t="str">
            <v>RHNS-CHPWOD</v>
          </cell>
          <cell r="C53" t="str">
            <v>VAR_fout</v>
          </cell>
          <cell r="D53" t="str">
            <v>RHNS_KEV_WOD_ELC_CHP</v>
          </cell>
          <cell r="H53">
            <v>4.900013448593351E-4</v>
          </cell>
          <cell r="I53">
            <v>5.8169502469670358E-4</v>
          </cell>
          <cell r="J53">
            <v>3.4332373724821011E-4</v>
          </cell>
        </row>
        <row r="54">
          <cell r="B54" t="str">
            <v>RHNS-CHPWOD</v>
          </cell>
          <cell r="C54" t="str">
            <v>VAR_fin</v>
          </cell>
          <cell r="D54" t="str">
            <v>RWOD</v>
          </cell>
          <cell r="H54">
            <v>2.3675818957131322E-3</v>
          </cell>
          <cell r="I54">
            <v>2.7107900439507127E-3</v>
          </cell>
          <cell r="J54">
            <v>1.5479226140944432E-3</v>
          </cell>
        </row>
        <row r="55">
          <cell r="B55" t="str">
            <v>RHNS-CHPWOD</v>
          </cell>
          <cell r="C55" t="str">
            <v>VAR_ncap</v>
          </cell>
          <cell r="D55" t="str">
            <v>-</v>
          </cell>
          <cell r="H55">
            <v>4.3548090987028998E-5</v>
          </cell>
          <cell r="I55">
            <v>1.48448712330026E-5</v>
          </cell>
          <cell r="J55">
            <v>1.6813116532804199E-5</v>
          </cell>
        </row>
        <row r="56">
          <cell r="B56" t="str">
            <v>RHNS-CHPWOD</v>
          </cell>
          <cell r="C56" t="str">
            <v>VAR_cap</v>
          </cell>
          <cell r="D56" t="str">
            <v>-</v>
          </cell>
          <cell r="H56">
            <v>4.3548090987028998E-5</v>
          </cell>
          <cell r="I56">
            <v>5.2051651311991102E-5</v>
          </cell>
          <cell r="J56">
            <v>3.0730020841881117E-5</v>
          </cell>
        </row>
        <row r="57">
          <cell r="B57" t="str">
            <v>D-ICOA</v>
          </cell>
          <cell r="C57" t="str">
            <v>VAR_fout</v>
          </cell>
          <cell r="D57" t="str">
            <v>ICOA</v>
          </cell>
          <cell r="E57">
            <v>3.5600202094959159</v>
          </cell>
          <cell r="F57">
            <v>3.4647208701173744</v>
          </cell>
          <cell r="G57">
            <v>3.2263863350458362</v>
          </cell>
          <cell r="H57">
            <v>6.4355195221457641E-4</v>
          </cell>
          <cell r="I57">
            <v>6.3286740870591672E-4</v>
          </cell>
          <cell r="J57">
            <v>3.4793620773534078E-4</v>
          </cell>
        </row>
        <row r="58">
          <cell r="B58" t="str">
            <v>D-ICOA</v>
          </cell>
          <cell r="C58" t="str">
            <v>VAR_fout</v>
          </cell>
          <cell r="D58" t="str">
            <v>CO2</v>
          </cell>
          <cell r="E58">
            <v>330.01387342027198</v>
          </cell>
          <cell r="F58">
            <v>321.17962465988097</v>
          </cell>
          <cell r="G58">
            <v>299.08601325874901</v>
          </cell>
          <cell r="H58">
            <v>5.9657265970291203E-2</v>
          </cell>
          <cell r="I58">
            <v>5.8666808787038498E-2</v>
          </cell>
          <cell r="J58">
            <v>3.2253686457066097E-2</v>
          </cell>
        </row>
        <row r="59">
          <cell r="B59" t="str">
            <v>D-ICOA</v>
          </cell>
          <cell r="C59" t="str">
            <v>VAR_fin</v>
          </cell>
          <cell r="D59" t="str">
            <v>COA</v>
          </cell>
          <cell r="E59">
            <v>3.5600202094959159</v>
          </cell>
          <cell r="F59">
            <v>3.4647208701173744</v>
          </cell>
          <cell r="G59">
            <v>3.2263863350458362</v>
          </cell>
          <cell r="H59">
            <v>6.4355195221457641E-4</v>
          </cell>
          <cell r="I59">
            <v>6.3286740870591672E-4</v>
          </cell>
          <cell r="J59">
            <v>3.4793620773534078E-4</v>
          </cell>
        </row>
        <row r="60">
          <cell r="B60" t="str">
            <v>RHNM-SHSTG-CHPWOD</v>
          </cell>
          <cell r="C60" t="str">
            <v>VAR_fout</v>
          </cell>
          <cell r="D60" t="str">
            <v>RHNM_LTH_CHPWOD</v>
          </cell>
          <cell r="E60">
            <v>5.3528850231192608E-4</v>
          </cell>
          <cell r="F60">
            <v>2.6878531186168579E-4</v>
          </cell>
          <cell r="G60">
            <v>2.3920263900939758E-4</v>
          </cell>
          <cell r="H60">
            <v>1.483952577565277E-3</v>
          </cell>
          <cell r="I60">
            <v>5.3921385678693742E-3</v>
          </cell>
          <cell r="J60">
            <v>5.2519102481364726E-3</v>
          </cell>
        </row>
        <row r="61">
          <cell r="B61" t="str">
            <v>RHNM-SHSTG-CHPWOD</v>
          </cell>
          <cell r="C61" t="str">
            <v>VAR_fout</v>
          </cell>
          <cell r="D61" t="str">
            <v>AUX_RNM-CHPWOD_OUT</v>
          </cell>
          <cell r="E61">
            <v>5.3528850231192738E-4</v>
          </cell>
          <cell r="F61">
            <v>2.686062410343296E-4</v>
          </cell>
          <cell r="G61">
            <v>2.38953728875153E-4</v>
          </cell>
          <cell r="H61">
            <v>1.483952577565277E-3</v>
          </cell>
          <cell r="I61">
            <v>5.392138567869395E-3</v>
          </cell>
          <cell r="J61">
            <v>5.2519102481364778E-3</v>
          </cell>
        </row>
        <row r="62">
          <cell r="B62" t="str">
            <v>RHNM-SHSTG-CHPWOD</v>
          </cell>
          <cell r="C62" t="str">
            <v>VAR_fin</v>
          </cell>
          <cell r="D62" t="str">
            <v>RHNM_LTH_CHPWOD</v>
          </cell>
          <cell r="E62">
            <v>4.1877603504347679E-4</v>
          </cell>
          <cell r="F62">
            <v>1.6603786477756445E-4</v>
          </cell>
          <cell r="G62">
            <v>1.8984198277626404E-4</v>
          </cell>
          <cell r="H62">
            <v>1.8583099687955885E-3</v>
          </cell>
          <cell r="I62">
            <v>6.3470610593193387E-3</v>
          </cell>
          <cell r="J62">
            <v>5.838824457769432E-3</v>
          </cell>
        </row>
        <row r="63">
          <cell r="B63" t="str">
            <v>RHNM-SHSTG-CHPWOD</v>
          </cell>
          <cell r="C63" t="str">
            <v>VAR_fin</v>
          </cell>
          <cell r="D63" t="str">
            <v>AUX_RNM-CHPWOD_IN</v>
          </cell>
          <cell r="E63">
            <v>4.1877603504347679E-4</v>
          </cell>
          <cell r="F63">
            <v>1.6603786477756445E-4</v>
          </cell>
          <cell r="G63">
            <v>1.8984198277626404E-4</v>
          </cell>
          <cell r="H63">
            <v>1.8583099687955885E-3</v>
          </cell>
          <cell r="I63">
            <v>6.3470610593193387E-3</v>
          </cell>
          <cell r="J63">
            <v>5.838824457769432E-3</v>
          </cell>
        </row>
        <row r="64">
          <cell r="B64" t="str">
            <v>RHNM-SHSTG-CHPWOD</v>
          </cell>
          <cell r="C64" t="str">
            <v>VAR_ncap</v>
          </cell>
          <cell r="D64" t="str">
            <v>-</v>
          </cell>
          <cell r="E64">
            <v>1.92444628515154E-3</v>
          </cell>
          <cell r="F64">
            <v>4.3045762760553401E-5</v>
          </cell>
          <cell r="G64">
            <v>6.3922393195411006E-5</v>
          </cell>
          <cell r="H64">
            <v>5.5751516231157101E-5</v>
          </cell>
          <cell r="I64">
            <v>1.6205536504187499E-4</v>
          </cell>
          <cell r="J64">
            <v>3.44966238870884E-4</v>
          </cell>
        </row>
        <row r="65">
          <cell r="B65" t="str">
            <v>RHNM-SHSTG-CHPWOD</v>
          </cell>
          <cell r="C65" t="str">
            <v>VAR_cap</v>
          </cell>
          <cell r="D65" t="str">
            <v>-</v>
          </cell>
          <cell r="E65">
            <v>1.92444628515154E-3</v>
          </cell>
          <cell r="F65">
            <v>1.9617568158792013E-3</v>
          </cell>
          <cell r="G65">
            <v>2.0099726242680431E-3</v>
          </cell>
          <cell r="H65">
            <v>2.046053007197218E-3</v>
          </cell>
          <cell r="I65">
            <v>2.6528500121293149E-3</v>
          </cell>
          <cell r="J65">
            <v>1.4921669688063976E-3</v>
          </cell>
        </row>
        <row r="66">
          <cell r="B66" t="str">
            <v>ENGA-CCS</v>
          </cell>
          <cell r="C66" t="str">
            <v>VAR_fout</v>
          </cell>
          <cell r="D66" t="str">
            <v>CO2_E</v>
          </cell>
          <cell r="I66">
            <v>9.6356062918477401E-3</v>
          </cell>
          <cell r="J66">
            <v>5.7178805200717997E-3</v>
          </cell>
        </row>
        <row r="67">
          <cell r="B67" t="str">
            <v>ENGA-CCS</v>
          </cell>
          <cell r="C67" t="str">
            <v>VAR_fin</v>
          </cell>
          <cell r="D67" t="str">
            <v>ENGA</v>
          </cell>
          <cell r="I67">
            <v>1.7084408318878983E-4</v>
          </cell>
          <cell r="J67">
            <v>1.013808602849611E-4</v>
          </cell>
        </row>
        <row r="68">
          <cell r="B68" t="str">
            <v>RHNS-CHPGFC</v>
          </cell>
          <cell r="C68" t="str">
            <v>VAR_fout</v>
          </cell>
          <cell r="D68" t="str">
            <v>CO2_R</v>
          </cell>
          <cell r="H68">
            <v>1.58239888284149E-2</v>
          </cell>
          <cell r="I68">
            <v>5.03046361871647E-2</v>
          </cell>
          <cell r="J68">
            <v>4.4777826518847597E-2</v>
          </cell>
        </row>
        <row r="69">
          <cell r="B69" t="str">
            <v>RHNS-CHPGFC</v>
          </cell>
          <cell r="C69" t="str">
            <v>VAR_fout</v>
          </cell>
          <cell r="D69" t="str">
            <v>RHNS_LTH_CHPNGA</v>
          </cell>
          <cell r="H69">
            <v>1.3197880044124753E-4</v>
          </cell>
          <cell r="I69">
            <v>4.1599436733499314E-4</v>
          </cell>
          <cell r="J69">
            <v>3.5726989243761367E-4</v>
          </cell>
        </row>
        <row r="70">
          <cell r="B70" t="str">
            <v>RHNS-CHPGFC</v>
          </cell>
          <cell r="C70" t="str">
            <v>VAR_fout</v>
          </cell>
          <cell r="D70" t="str">
            <v>RHNS_NKEV_GAS_ELC_CHP</v>
          </cell>
          <cell r="H70">
            <v>1.1783821467968517E-4</v>
          </cell>
          <cell r="I70">
            <v>3.9244751635376696E-4</v>
          </cell>
          <cell r="J70">
            <v>3.5726989243761367E-4</v>
          </cell>
        </row>
        <row r="71">
          <cell r="B71" t="str">
            <v>RHNS-CHPGFC</v>
          </cell>
          <cell r="C71" t="str">
            <v>VAR_fin</v>
          </cell>
          <cell r="D71" t="str">
            <v>RNGA</v>
          </cell>
          <cell r="H71">
            <v>2.805671778087745E-4</v>
          </cell>
          <cell r="I71">
            <v>8.9192617353128876E-4</v>
          </cell>
          <cell r="J71">
            <v>7.9393309430580733E-4</v>
          </cell>
        </row>
        <row r="72">
          <cell r="B72" t="str">
            <v>RHNS-CHPGFC</v>
          </cell>
          <cell r="C72" t="str">
            <v>VAR_ncap</v>
          </cell>
          <cell r="D72" t="str">
            <v>-</v>
          </cell>
          <cell r="H72">
            <v>1.0153778498566301E-5</v>
          </cell>
          <cell r="I72">
            <v>6.3906750327382099E-7</v>
          </cell>
          <cell r="J72">
            <v>9.2384992442787797E-6</v>
          </cell>
        </row>
        <row r="73">
          <cell r="B73" t="str">
            <v>RHNS-CHPGFC</v>
          </cell>
          <cell r="C73" t="str">
            <v>VAR_cap</v>
          </cell>
          <cell r="D73" t="str">
            <v>-</v>
          </cell>
          <cell r="H73">
            <v>1.0153778498566301E-5</v>
          </cell>
          <cell r="I73">
            <v>3.4646371684739573E-5</v>
          </cell>
          <cell r="J73">
            <v>3.1487851427151919E-5</v>
          </cell>
        </row>
        <row r="74">
          <cell r="B74" t="str">
            <v>D-ENGA</v>
          </cell>
          <cell r="C74" t="str">
            <v>VAR_fout</v>
          </cell>
          <cell r="D74" t="str">
            <v>CO2</v>
          </cell>
          <cell r="E74">
            <v>311.47660488767701</v>
          </cell>
          <cell r="F74">
            <v>181.653341863836</v>
          </cell>
          <cell r="G74">
            <v>58.098372731884403</v>
          </cell>
          <cell r="H74">
            <v>174.45571397126801</v>
          </cell>
          <cell r="I74">
            <v>324.54935936368298</v>
          </cell>
          <cell r="J74">
            <v>1011.75600865025</v>
          </cell>
        </row>
        <row r="75">
          <cell r="B75" t="str">
            <v>D-ENGA</v>
          </cell>
          <cell r="C75" t="str">
            <v>VAR_fout</v>
          </cell>
          <cell r="D75" t="str">
            <v>ENGA</v>
          </cell>
          <cell r="E75">
            <v>5.7078419689436037</v>
          </cell>
          <cell r="F75">
            <v>3.210613073052679</v>
          </cell>
          <cell r="G75">
            <v>1.1082201991239125</v>
          </cell>
          <cell r="H75">
            <v>3.6023344626557567</v>
          </cell>
          <cell r="I75">
            <v>6.2550914917436922</v>
          </cell>
          <cell r="J75">
            <v>18.400810967595699</v>
          </cell>
        </row>
        <row r="76">
          <cell r="B76" t="str">
            <v>D-ENGA</v>
          </cell>
          <cell r="C76" t="str">
            <v>VAR_fin</v>
          </cell>
          <cell r="D76" t="str">
            <v>NGA</v>
          </cell>
          <cell r="E76">
            <v>5.5226348384339916</v>
          </cell>
          <cell r="F76">
            <v>3.2208039337559566</v>
          </cell>
          <cell r="G76">
            <v>1.0301129917000775</v>
          </cell>
          <cell r="H76">
            <v>3.0931864179302853</v>
          </cell>
          <cell r="I76">
            <v>5.7544212653135327</v>
          </cell>
          <cell r="J76">
            <v>17.938936323585935</v>
          </cell>
        </row>
        <row r="77">
          <cell r="B77" t="str">
            <v>D-ENGA</v>
          </cell>
          <cell r="C77" t="str">
            <v>VAR_fin</v>
          </cell>
          <cell r="D77" t="str">
            <v>BNGA</v>
          </cell>
          <cell r="E77">
            <v>0.20344151426916718</v>
          </cell>
          <cell r="F77">
            <v>5.6460838675030456E-5</v>
          </cell>
          <cell r="G77">
            <v>8.1632960735298979E-2</v>
          </cell>
          <cell r="H77">
            <v>0.52064574772576655</v>
          </cell>
          <cell r="I77">
            <v>0.52066408581561729</v>
          </cell>
          <cell r="J77">
            <v>0.52066720381867926</v>
          </cell>
        </row>
        <row r="78">
          <cell r="B78" t="str">
            <v>D-ENGA</v>
          </cell>
          <cell r="C78" t="str">
            <v>VAR_ncap</v>
          </cell>
          <cell r="D78" t="str">
            <v>-</v>
          </cell>
          <cell r="E78">
            <v>1.7567917465963601E-6</v>
          </cell>
          <cell r="F78">
            <v>4.0248368741912998E-7</v>
          </cell>
          <cell r="G78">
            <v>4.9834910326108699E-7</v>
          </cell>
          <cell r="H78">
            <v>7.4638150248676695E-7</v>
          </cell>
          <cell r="I78">
            <v>3.5926428643018899E-6</v>
          </cell>
          <cell r="J78">
            <v>0.12624199373561101</v>
          </cell>
        </row>
        <row r="79">
          <cell r="B79" t="str">
            <v>D-ENGA</v>
          </cell>
          <cell r="C79" t="str">
            <v>VAR_cap</v>
          </cell>
          <cell r="D79" t="str">
            <v>-</v>
          </cell>
          <cell r="E79">
            <v>1.0275137513327266</v>
          </cell>
          <cell r="F79">
            <v>1.0275141538164141</v>
          </cell>
          <cell r="G79">
            <v>1.0275146521655174</v>
          </cell>
          <cell r="H79">
            <v>1.0275153985470198</v>
          </cell>
          <cell r="I79">
            <v>1.0275209509076515</v>
          </cell>
          <cell r="J79">
            <v>0.85092763141704197</v>
          </cell>
        </row>
        <row r="80">
          <cell r="B80" t="str">
            <v>D-ILFO</v>
          </cell>
          <cell r="C80" t="str">
            <v>VAR_fout</v>
          </cell>
          <cell r="D80" t="str">
            <v>CO2</v>
          </cell>
          <cell r="E80">
            <v>689.07517068455797</v>
          </cell>
          <cell r="F80">
            <v>659.57595052482202</v>
          </cell>
          <cell r="G80">
            <v>598.676542288782</v>
          </cell>
          <cell r="H80">
            <v>523.430875047521</v>
          </cell>
          <cell r="I80">
            <v>150.53794995233201</v>
          </cell>
          <cell r="J80">
            <v>1.68272785712054E-2</v>
          </cell>
        </row>
        <row r="81">
          <cell r="B81" t="str">
            <v>D-ILFO</v>
          </cell>
          <cell r="C81" t="str">
            <v>VAR_fout</v>
          </cell>
          <cell r="D81" t="str">
            <v>ILFO</v>
          </cell>
          <cell r="E81">
            <v>9.1935795425927331</v>
          </cell>
          <cell r="F81">
            <v>8.8000035750918695</v>
          </cell>
          <cell r="G81">
            <v>7.9875719915328194</v>
          </cell>
          <cell r="H81">
            <v>7.1422253176057851</v>
          </cell>
          <cell r="I81">
            <v>3.3382045310330839</v>
          </cell>
          <cell r="J81">
            <v>1.3299839674420064</v>
          </cell>
        </row>
        <row r="82">
          <cell r="B82" t="str">
            <v>D-ILFO</v>
          </cell>
          <cell r="C82" t="str">
            <v>VAR_fin</v>
          </cell>
          <cell r="D82" t="str">
            <v>LFO</v>
          </cell>
          <cell r="E82">
            <v>9.3497309455163968</v>
          </cell>
          <cell r="F82">
            <v>8.9494701563747938</v>
          </cell>
          <cell r="G82">
            <v>8.1231552549359876</v>
          </cell>
          <cell r="H82">
            <v>7.1021828364656896</v>
          </cell>
          <cell r="I82">
            <v>2.0425773399230889</v>
          </cell>
          <cell r="J82">
            <v>2.2832128319138934E-4</v>
          </cell>
        </row>
        <row r="83">
          <cell r="B83" t="str">
            <v>D-ILFO</v>
          </cell>
          <cell r="C83" t="str">
            <v>VAR_fin</v>
          </cell>
          <cell r="D83" t="str">
            <v>BDS</v>
          </cell>
          <cell r="G83">
            <v>8.4304017466584641E-5</v>
          </cell>
          <cell r="H83">
            <v>0.16135403144662575</v>
          </cell>
          <cell r="I83">
            <v>1.3523270833691945</v>
          </cell>
          <cell r="J83">
            <v>1.352345985192497</v>
          </cell>
        </row>
        <row r="84">
          <cell r="B84" t="str">
            <v>HPLNGA</v>
          </cell>
          <cell r="C84" t="str">
            <v>VAR_fout</v>
          </cell>
          <cell r="D84" t="str">
            <v>LTH</v>
          </cell>
          <cell r="E84">
            <v>1.7329152114270885</v>
          </cell>
          <cell r="F84">
            <v>2.7413492172549532</v>
          </cell>
          <cell r="G84">
            <v>0.93708670170805142</v>
          </cell>
          <cell r="H84">
            <v>3.0672592498322988</v>
          </cell>
          <cell r="I84">
            <v>2.7452260880929478</v>
          </cell>
          <cell r="J84">
            <v>8.2524421326983753E-3</v>
          </cell>
        </row>
        <row r="85">
          <cell r="B85" t="str">
            <v>HPLNGA</v>
          </cell>
          <cell r="C85" t="str">
            <v>VAR_fout</v>
          </cell>
          <cell r="D85" t="str">
            <v>CO2_E</v>
          </cell>
          <cell r="E85">
            <v>114.38451018897899</v>
          </cell>
          <cell r="F85">
            <v>180.94819954544701</v>
          </cell>
          <cell r="G85">
            <v>61.854268848624201</v>
          </cell>
          <cell r="H85">
            <v>202.46053851980099</v>
          </cell>
          <cell r="I85">
            <v>181.204100104774</v>
          </cell>
          <cell r="J85">
            <v>0.54471883274325705</v>
          </cell>
        </row>
        <row r="86">
          <cell r="B86" t="str">
            <v>HPLNGA</v>
          </cell>
          <cell r="C86" t="str">
            <v>VAR_fin</v>
          </cell>
          <cell r="D86" t="str">
            <v>ENGA</v>
          </cell>
          <cell r="E86">
            <v>2.0280941522868652</v>
          </cell>
          <cell r="F86">
            <v>3.2083014103802703</v>
          </cell>
          <cell r="G86">
            <v>1.0967068944791534</v>
          </cell>
          <cell r="H86">
            <v>3.5897258602801605</v>
          </cell>
          <cell r="I86">
            <v>3.212838654339965</v>
          </cell>
          <cell r="J86">
            <v>9.6581353323272612E-3</v>
          </cell>
        </row>
        <row r="87">
          <cell r="B87" t="str">
            <v>HPLNGA</v>
          </cell>
          <cell r="C87" t="str">
            <v>VAR_ncap</v>
          </cell>
          <cell r="D87" t="str">
            <v>-</v>
          </cell>
          <cell r="E87">
            <v>6.4577149523552203E-6</v>
          </cell>
          <cell r="F87">
            <v>5.0335046631855297E-6</v>
          </cell>
          <cell r="G87">
            <v>9.9781004259304602E-6</v>
          </cell>
          <cell r="H87">
            <v>0.23263207768209801</v>
          </cell>
          <cell r="I87">
            <v>4.1239472592874102E-6</v>
          </cell>
          <cell r="J87">
            <v>2.4483249516431499E-6</v>
          </cell>
        </row>
        <row r="88">
          <cell r="B88" t="str">
            <v>HPLNGA</v>
          </cell>
          <cell r="C88" t="str">
            <v>VAR_cap</v>
          </cell>
          <cell r="D88" t="str">
            <v>-</v>
          </cell>
          <cell r="E88">
            <v>0.34791536435823234</v>
          </cell>
          <cell r="F88">
            <v>0.34776599212463449</v>
          </cell>
          <cell r="G88">
            <v>0.34774699591698344</v>
          </cell>
          <cell r="H88">
            <v>0.38905514063094998</v>
          </cell>
          <cell r="I88">
            <v>0.3482058691319011</v>
          </cell>
          <cell r="J88">
            <v>1.6530835397449983E-3</v>
          </cell>
        </row>
        <row r="89">
          <cell r="B89" t="str">
            <v>G-INTC-IMP00-AT</v>
          </cell>
          <cell r="C89" t="str">
            <v>VAR_fout</v>
          </cell>
          <cell r="D89" t="str">
            <v>ELC</v>
          </cell>
          <cell r="E89">
            <v>15.013814002590994</v>
          </cell>
          <cell r="F89">
            <v>7.7724935494938542E-3</v>
          </cell>
          <cell r="G89">
            <v>5.0277396783774487E-3</v>
          </cell>
          <cell r="H89">
            <v>4.2378282951149576E-3</v>
          </cell>
          <cell r="I89">
            <v>2.5487078317778145E-3</v>
          </cell>
          <cell r="J89">
            <v>2.5329283400141733E-3</v>
          </cell>
        </row>
        <row r="90">
          <cell r="B90" t="str">
            <v>G-INTC-IMP00-AT</v>
          </cell>
          <cell r="C90" t="str">
            <v>VAR_fin</v>
          </cell>
          <cell r="D90" t="str">
            <v>ELC_I-AT</v>
          </cell>
          <cell r="E90">
            <v>15.013814002590994</v>
          </cell>
          <cell r="F90">
            <v>7.7724935494938542E-3</v>
          </cell>
          <cell r="G90">
            <v>5.0277396783774487E-3</v>
          </cell>
          <cell r="H90">
            <v>4.2378282951149576E-3</v>
          </cell>
          <cell r="I90">
            <v>2.5487078317778145E-3</v>
          </cell>
          <cell r="J90">
            <v>2.5329283400141733E-3</v>
          </cell>
        </row>
        <row r="91">
          <cell r="B91" t="str">
            <v>G-INTC-IMP00-AT</v>
          </cell>
          <cell r="C91" t="str">
            <v>VAR_ncap</v>
          </cell>
          <cell r="D91" t="str">
            <v>-</v>
          </cell>
          <cell r="E91">
            <v>9.5221679832602798E-7</v>
          </cell>
          <cell r="F91">
            <v>8.0475315156228503E-7</v>
          </cell>
          <cell r="G91">
            <v>9.7140078167166801E-7</v>
          </cell>
          <cell r="H91">
            <v>8.9960741802927997E-7</v>
          </cell>
          <cell r="I91">
            <v>1.0493529804099E-6</v>
          </cell>
          <cell r="J91">
            <v>1.5313295364457901E-6</v>
          </cell>
        </row>
        <row r="92">
          <cell r="B92" t="str">
            <v>G-INTC-IMP00-AT</v>
          </cell>
          <cell r="C92" t="str">
            <v>VAR_cap</v>
          </cell>
          <cell r="D92" t="str">
            <v>-</v>
          </cell>
          <cell r="E92">
            <v>0.54536978980734896</v>
          </cell>
          <cell r="F92">
            <v>6.5518636308992129E-4</v>
          </cell>
          <cell r="G92">
            <v>6.3303160731997821E-4</v>
          </cell>
          <cell r="H92">
            <v>6.314511086460417E-4</v>
          </cell>
          <cell r="I92">
            <v>6.272340801296572E-4</v>
          </cell>
          <cell r="J92">
            <v>6.2716494326053862E-4</v>
          </cell>
        </row>
        <row r="93">
          <cell r="B93" t="str">
            <v>CHPWST</v>
          </cell>
          <cell r="C93" t="str">
            <v>VAR_fout</v>
          </cell>
          <cell r="D93" t="str">
            <v>ELC35</v>
          </cell>
          <cell r="E93">
            <v>1.4349614443390246</v>
          </cell>
          <cell r="F93">
            <v>1.299535825479385</v>
          </cell>
          <cell r="G93">
            <v>1.3189283036915158</v>
          </cell>
          <cell r="H93">
            <v>1.2901768025656781</v>
          </cell>
          <cell r="I93">
            <v>1.2826619852996017</v>
          </cell>
          <cell r="J93">
            <v>1.2865774792154585</v>
          </cell>
        </row>
        <row r="94">
          <cell r="B94" t="str">
            <v>CHPWST</v>
          </cell>
          <cell r="C94" t="str">
            <v>VAR_fout</v>
          </cell>
          <cell r="D94" t="str">
            <v>LTH</v>
          </cell>
          <cell r="E94">
            <v>14.461273823205698</v>
          </cell>
          <cell r="F94">
            <v>13.051652368285692</v>
          </cell>
          <cell r="G94">
            <v>13.178172808053755</v>
          </cell>
          <cell r="H94">
            <v>12.779638775435993</v>
          </cell>
          <cell r="I94">
            <v>12.034793575810651</v>
          </cell>
          <cell r="J94">
            <v>11.399076465848967</v>
          </cell>
        </row>
        <row r="95">
          <cell r="B95" t="str">
            <v>CHPWST</v>
          </cell>
          <cell r="C95" t="str">
            <v>VAR_fout</v>
          </cell>
          <cell r="D95" t="str">
            <v>CO2_E</v>
          </cell>
          <cell r="E95">
            <v>2843.2582428272099</v>
          </cell>
          <cell r="F95">
            <v>2574.9235021053</v>
          </cell>
          <cell r="G95">
            <v>2613.3481049007401</v>
          </cell>
          <cell r="H95">
            <v>2556.3793668958301</v>
          </cell>
          <cell r="I95">
            <v>2541.4893737051402</v>
          </cell>
          <cell r="J95">
            <v>2549.2476033042099</v>
          </cell>
        </row>
        <row r="96">
          <cell r="B96" t="str">
            <v>CHPWST</v>
          </cell>
          <cell r="C96" t="str">
            <v>VAR_fin</v>
          </cell>
          <cell r="D96" t="str">
            <v>EWST</v>
          </cell>
          <cell r="E96">
            <v>30.638558651155236</v>
          </cell>
          <cell r="F96">
            <v>27.747020496824348</v>
          </cell>
          <cell r="G96">
            <v>28.161078716602756</v>
          </cell>
          <cell r="H96">
            <v>27.547191453618829</v>
          </cell>
          <cell r="I96">
            <v>27.386738940788096</v>
          </cell>
          <cell r="J96">
            <v>27.47034055284707</v>
          </cell>
        </row>
        <row r="97">
          <cell r="B97" t="str">
            <v>CHPWST</v>
          </cell>
          <cell r="C97" t="str">
            <v>VAR_ncap</v>
          </cell>
          <cell r="D97" t="str">
            <v>-</v>
          </cell>
          <cell r="F97">
            <v>8.4719480912762704E-8</v>
          </cell>
          <cell r="G97">
            <v>1.12419121192545E-7</v>
          </cell>
          <cell r="H97">
            <v>2.14401260831819E-7</v>
          </cell>
          <cell r="I97">
            <v>1.9608569435540499E-2</v>
          </cell>
          <cell r="J97">
            <v>2.8457169456333701E-2</v>
          </cell>
        </row>
        <row r="98">
          <cell r="B98" t="str">
            <v>CHPWST</v>
          </cell>
          <cell r="C98" t="str">
            <v>VAR_cap</v>
          </cell>
          <cell r="D98" t="str">
            <v>-</v>
          </cell>
          <cell r="E98">
            <v>7.8399913160872733E-2</v>
          </cell>
          <cell r="F98">
            <v>7.2061511590867253E-2</v>
          </cell>
          <cell r="G98">
            <v>7.2060676354549394E-2</v>
          </cell>
          <cell r="H98">
            <v>7.0489850106039406E-2</v>
          </cell>
          <cell r="I98">
            <v>7.0079152988646518E-2</v>
          </cell>
          <cell r="J98">
            <v>7.029302953640823E-2</v>
          </cell>
        </row>
        <row r="99">
          <cell r="B99" t="str">
            <v>RHES-CHPNGA</v>
          </cell>
          <cell r="C99" t="str">
            <v>VAR_fout</v>
          </cell>
          <cell r="D99" t="str">
            <v>CO2_R</v>
          </cell>
          <cell r="E99">
            <v>3.7497743729790201</v>
          </cell>
          <cell r="F99">
            <v>0.40537298667210803</v>
          </cell>
          <cell r="G99">
            <v>0.77385857161545801</v>
          </cell>
          <cell r="H99">
            <v>1.33041938767573</v>
          </cell>
          <cell r="I99">
            <v>0.47950702591579297</v>
          </cell>
          <cell r="J99">
            <v>0.27257153531169298</v>
          </cell>
        </row>
        <row r="100">
          <cell r="B100" t="str">
            <v>RHES-CHPNGA</v>
          </cell>
          <cell r="C100" t="str">
            <v>VAR_fout</v>
          </cell>
          <cell r="D100" t="str">
            <v>RHES_NKEV_GAS_ELC_CHP</v>
          </cell>
          <cell r="E100">
            <v>1.4276160604853689E-2</v>
          </cell>
          <cell r="F100">
            <v>1.9371353723809312E-3</v>
          </cell>
          <cell r="G100">
            <v>3.0720227014399953E-3</v>
          </cell>
          <cell r="H100">
            <v>6.3407032372097202E-3</v>
          </cell>
          <cell r="I100">
            <v>2.0290455399500167E-3</v>
          </cell>
          <cell r="J100">
            <v>1.0665396712321606E-3</v>
          </cell>
        </row>
        <row r="101">
          <cell r="B101" t="str">
            <v>RHES-CHPNGA</v>
          </cell>
          <cell r="C101" t="str">
            <v>VAR_fout</v>
          </cell>
          <cell r="D101" t="str">
            <v>RHES_LTH_CHPNGA</v>
          </cell>
          <cell r="E101">
            <v>3.436853478946264E-2</v>
          </cell>
          <cell r="F101">
            <v>4.6163268344993251E-3</v>
          </cell>
          <cell r="G101">
            <v>7.2086881909451794E-3</v>
          </cell>
          <cell r="H101">
            <v>1.4493035970765107E-2</v>
          </cell>
          <cell r="I101">
            <v>4.5564531423438965E-3</v>
          </cell>
          <cell r="J101">
            <v>2.3169654926767625E-3</v>
          </cell>
        </row>
        <row r="102">
          <cell r="B102" t="str">
            <v>RHES-CHPNGA</v>
          </cell>
          <cell r="C102" t="str">
            <v>VAR_fin</v>
          </cell>
          <cell r="D102" t="str">
            <v>RNGA</v>
          </cell>
          <cell r="E102">
            <v>6.6485361223032211E-2</v>
          </cell>
          <cell r="F102">
            <v>7.1874643026969588E-3</v>
          </cell>
          <cell r="G102">
            <v>1.3720896659848559E-2</v>
          </cell>
          <cell r="H102">
            <v>2.3588996235385313E-2</v>
          </cell>
          <cell r="I102">
            <v>8.501897622620434E-3</v>
          </cell>
          <cell r="J102">
            <v>4.8328286402782436E-3</v>
          </cell>
        </row>
        <row r="103">
          <cell r="B103" t="str">
            <v>RHES-CHPNGA</v>
          </cell>
          <cell r="C103" t="str">
            <v>VAR_ncap</v>
          </cell>
          <cell r="D103" t="str">
            <v>-</v>
          </cell>
          <cell r="F103">
            <v>1.15777369344637E-7</v>
          </cell>
          <cell r="G103">
            <v>1.1645839052572101E-5</v>
          </cell>
          <cell r="H103">
            <v>2.90708732953816E-6</v>
          </cell>
          <cell r="I103">
            <v>2.61535247529386E-5</v>
          </cell>
          <cell r="J103">
            <v>5.4181384211805798E-5</v>
          </cell>
        </row>
        <row r="104">
          <cell r="B104" t="str">
            <v>RHES-CHPNGA</v>
          </cell>
          <cell r="C104" t="str">
            <v>VAR_cap</v>
          </cell>
          <cell r="D104" t="str">
            <v>-</v>
          </cell>
          <cell r="E104">
            <v>4.1311297430992062E-3</v>
          </cell>
          <cell r="F104">
            <v>5.819441540348446E-4</v>
          </cell>
          <cell r="G104">
            <v>5.8165668748638992E-4</v>
          </cell>
          <cell r="H104">
            <v>5.6351040555404188E-4</v>
          </cell>
          <cell r="I104">
            <v>1.8025026600490117E-4</v>
          </cell>
          <cell r="J104">
            <v>9.4722176115817681E-5</v>
          </cell>
        </row>
        <row r="105">
          <cell r="B105" t="str">
            <v>RHEM-CHPWOD</v>
          </cell>
          <cell r="C105" t="str">
            <v>VAR_fout</v>
          </cell>
          <cell r="D105" t="str">
            <v>RHEM_KEV_WOD_ELC_CHP</v>
          </cell>
          <cell r="H105">
            <v>8.4853654257636133E-4</v>
          </cell>
          <cell r="I105">
            <v>8.5647709242505016E-4</v>
          </cell>
          <cell r="J105">
            <v>4.7018223107720883E-4</v>
          </cell>
        </row>
        <row r="106">
          <cell r="B106" t="str">
            <v>RHEM-CHPWOD</v>
          </cell>
          <cell r="C106" t="str">
            <v>VAR_fout</v>
          </cell>
          <cell r="D106" t="str">
            <v>RHEM_LTH_CHPWOD</v>
          </cell>
          <cell r="H106">
            <v>2.25719080291249E-3</v>
          </cell>
          <cell r="I106">
            <v>2.2783134478301832E-3</v>
          </cell>
          <cell r="J106">
            <v>1.250731058037896E-3</v>
          </cell>
        </row>
        <row r="107">
          <cell r="B107" t="str">
            <v>RHEM-CHPWOD</v>
          </cell>
          <cell r="C107" t="str">
            <v>VAR_fin</v>
          </cell>
          <cell r="D107" t="str">
            <v>RWOD</v>
          </cell>
          <cell r="H107">
            <v>3.5816193690690751E-3</v>
          </cell>
          <cell r="I107">
            <v>3.5630196056913041E-3</v>
          </cell>
          <cell r="J107">
            <v>1.9093875247958056E-3</v>
          </cell>
        </row>
        <row r="108">
          <cell r="B108" t="str">
            <v>RHEM-CHPWOD</v>
          </cell>
          <cell r="C108" t="str">
            <v>VAR_ncap</v>
          </cell>
          <cell r="D108" t="str">
            <v>-</v>
          </cell>
          <cell r="H108">
            <v>6.3039815192610197E-5</v>
          </cell>
          <cell r="I108">
            <v>1.04685928627321E-5</v>
          </cell>
          <cell r="J108">
            <v>2.5917582610720799E-5</v>
          </cell>
        </row>
        <row r="109">
          <cell r="B109" t="str">
            <v>RHEM-CHPWOD</v>
          </cell>
          <cell r="C109" t="str">
            <v>VAR_cap</v>
          </cell>
          <cell r="D109" t="str">
            <v>-</v>
          </cell>
          <cell r="H109">
            <v>6.3039815192610197E-5</v>
          </cell>
          <cell r="I109">
            <v>7.2903783099924888E-5</v>
          </cell>
          <cell r="J109">
            <v>4.1686310672048885E-5</v>
          </cell>
        </row>
        <row r="110">
          <cell r="B110" t="str">
            <v>G-INTC-IMP00-FR</v>
          </cell>
          <cell r="C110" t="str">
            <v>VAR_fout</v>
          </cell>
          <cell r="D110" t="str">
            <v>ELC</v>
          </cell>
          <cell r="E110">
            <v>28.948625749861428</v>
          </cell>
          <cell r="F110">
            <v>16.952491235370033</v>
          </cell>
          <cell r="G110">
            <v>18.862148103575215</v>
          </cell>
          <cell r="H110">
            <v>14.81735249082123</v>
          </cell>
          <cell r="I110">
            <v>10.580581529721572</v>
          </cell>
          <cell r="J110">
            <v>9.9864165756426875</v>
          </cell>
        </row>
        <row r="111">
          <cell r="B111" t="str">
            <v>G-INTC-IMP00-FR</v>
          </cell>
          <cell r="C111" t="str">
            <v>VAR_fin</v>
          </cell>
          <cell r="D111" t="str">
            <v>ELC_I-FR</v>
          </cell>
          <cell r="E111">
            <v>28.948625749861428</v>
          </cell>
          <cell r="F111">
            <v>16.952491235370033</v>
          </cell>
          <cell r="G111">
            <v>18.862148103575215</v>
          </cell>
          <cell r="H111">
            <v>14.81735249082123</v>
          </cell>
          <cell r="I111">
            <v>10.580581529721572</v>
          </cell>
          <cell r="J111">
            <v>9.9864165756426875</v>
          </cell>
        </row>
        <row r="112">
          <cell r="B112" t="str">
            <v>G-INTC-IMP00-FR</v>
          </cell>
          <cell r="C112" t="str">
            <v>VAR_ncap</v>
          </cell>
          <cell r="D112" t="str">
            <v>-</v>
          </cell>
          <cell r="E112">
            <v>1.1205905766424599E-6</v>
          </cell>
          <cell r="F112">
            <v>9.5864144662429591E-7</v>
          </cell>
          <cell r="G112">
            <v>1.0654010337101999E-6</v>
          </cell>
          <cell r="H112">
            <v>8.8978628152312303E-7</v>
          </cell>
          <cell r="I112">
            <v>1.28409055127829E-6</v>
          </cell>
          <cell r="J112">
            <v>1.8976787901576199E-6</v>
          </cell>
        </row>
        <row r="113">
          <cell r="B113" t="str">
            <v>G-INTC-IMP00-FR</v>
          </cell>
          <cell r="C113" t="str">
            <v>VAR_cap</v>
          </cell>
          <cell r="D113" t="str">
            <v>-</v>
          </cell>
          <cell r="E113">
            <v>1.6261895688698078</v>
          </cell>
          <cell r="F113">
            <v>1.6261734076625507</v>
          </cell>
          <cell r="G113">
            <v>1.6261726393285172</v>
          </cell>
          <cell r="H113">
            <v>1.6261734172172762</v>
          </cell>
          <cell r="I113">
            <v>1.1999998509156455</v>
          </cell>
          <cell r="J113">
            <v>1.1999991867647526</v>
          </cell>
        </row>
        <row r="114">
          <cell r="B114" t="str">
            <v>RHEM-CHPGFC</v>
          </cell>
          <cell r="C114" t="str">
            <v>VAR_fout</v>
          </cell>
          <cell r="D114" t="str">
            <v>CO2_R</v>
          </cell>
          <cell r="H114">
            <v>7.1582125366364699E-2</v>
          </cell>
          <cell r="I114">
            <v>0.39201270179583297</v>
          </cell>
          <cell r="J114">
            <v>82.670713902771197</v>
          </cell>
        </row>
        <row r="115">
          <cell r="B115" t="str">
            <v>RHEM-CHPGFC</v>
          </cell>
          <cell r="C115" t="str">
            <v>VAR_fout</v>
          </cell>
          <cell r="D115" t="str">
            <v>RHEM_LTH_CHPNGA</v>
          </cell>
          <cell r="H115">
            <v>5.9702538603436078E-4</v>
          </cell>
          <cell r="I115">
            <v>3.2417504276165978E-3</v>
          </cell>
          <cell r="J115">
            <v>0.65960675986253581</v>
          </cell>
        </row>
        <row r="116">
          <cell r="B116" t="str">
            <v>RHEM-CHPGFC</v>
          </cell>
          <cell r="C116" t="str">
            <v>VAR_fout</v>
          </cell>
          <cell r="D116" t="str">
            <v>RHEM_NKEV_GAS_ELC_CHP</v>
          </cell>
          <cell r="H116">
            <v>5.3305838038782225E-4</v>
          </cell>
          <cell r="I116">
            <v>3.0582551203930165E-3</v>
          </cell>
          <cell r="J116">
            <v>0.65960675986253581</v>
          </cell>
        </row>
        <row r="117">
          <cell r="B117" t="str">
            <v>RHEM-CHPGFC</v>
          </cell>
          <cell r="C117" t="str">
            <v>VAR_fin</v>
          </cell>
          <cell r="D117" t="str">
            <v>RNGA</v>
          </cell>
          <cell r="H117">
            <v>1.2691866199710049E-3</v>
          </cell>
          <cell r="I117">
            <v>6.9505798190750371E-3</v>
          </cell>
          <cell r="J117">
            <v>1.4657927996945248</v>
          </cell>
        </row>
        <row r="118">
          <cell r="B118" t="str">
            <v>RHEM-CHPGFC</v>
          </cell>
          <cell r="C118" t="str">
            <v>VAR_ncap</v>
          </cell>
          <cell r="D118" t="str">
            <v>-</v>
          </cell>
          <cell r="H118">
            <v>4.7083654103318198E-5</v>
          </cell>
          <cell r="I118">
            <v>7.8496716496795097E-5</v>
          </cell>
          <cell r="J118">
            <v>5.84260024647991E-2</v>
          </cell>
        </row>
        <row r="119">
          <cell r="B119" t="str">
            <v>RHEM-CHPGFC</v>
          </cell>
          <cell r="C119" t="str">
            <v>VAR_cap</v>
          </cell>
          <cell r="D119" t="str">
            <v>-</v>
          </cell>
          <cell r="H119">
            <v>4.7083654103318198E-5</v>
          </cell>
          <cell r="I119">
            <v>2.7173479744182404E-4</v>
          </cell>
          <cell r="J119">
            <v>5.8633104984868949E-2</v>
          </cell>
        </row>
        <row r="120">
          <cell r="B120" t="str">
            <v>EHYD-RUNS10</v>
          </cell>
          <cell r="C120" t="str">
            <v>VAR_fout</v>
          </cell>
          <cell r="D120" t="str">
            <v>ELC35</v>
          </cell>
          <cell r="F120">
            <v>1.5540295268275726E-3</v>
          </cell>
          <cell r="G120">
            <v>1.5953662200298112E-3</v>
          </cell>
          <cell r="H120">
            <v>1.580707616124962E-3</v>
          </cell>
          <cell r="I120">
            <v>1.6817870576999851E-3</v>
          </cell>
          <cell r="J120">
            <v>1.6674391859424138E-3</v>
          </cell>
        </row>
        <row r="121">
          <cell r="B121" t="str">
            <v>EHYD-RUNS10</v>
          </cell>
          <cell r="C121" t="str">
            <v>VAR_fin</v>
          </cell>
          <cell r="D121" t="str">
            <v>HYDR</v>
          </cell>
          <cell r="F121">
            <v>1.5540295268275726E-3</v>
          </cell>
          <cell r="G121">
            <v>1.5953662200298112E-3</v>
          </cell>
          <cell r="H121">
            <v>1.580707616124962E-3</v>
          </cell>
          <cell r="I121">
            <v>1.6817870576999851E-3</v>
          </cell>
          <cell r="J121">
            <v>1.6674391859424138E-3</v>
          </cell>
        </row>
        <row r="122">
          <cell r="B122" t="str">
            <v>EHYD-RUNS10</v>
          </cell>
          <cell r="C122" t="str">
            <v>VAR_ncap</v>
          </cell>
          <cell r="D122" t="str">
            <v>-</v>
          </cell>
          <cell r="F122">
            <v>1.4047363650173601E-4</v>
          </cell>
          <cell r="G122">
            <v>2.33168200681945E-6</v>
          </cell>
          <cell r="H122">
            <v>5.5065267570188701E-7</v>
          </cell>
          <cell r="I122">
            <v>3.5050679101261903E-8</v>
          </cell>
          <cell r="J122">
            <v>3.7245527577170103E-8</v>
          </cell>
        </row>
        <row r="123">
          <cell r="B123" t="str">
            <v>EHYD-RUNS10</v>
          </cell>
          <cell r="C123" t="str">
            <v>VAR_cap</v>
          </cell>
          <cell r="D123" t="str">
            <v>-</v>
          </cell>
          <cell r="F123">
            <v>1.4047363650173601E-4</v>
          </cell>
          <cell r="G123">
            <v>1.4280531850855501E-4</v>
          </cell>
          <cell r="H123">
            <v>1.43355971184257E-4</v>
          </cell>
          <cell r="I123">
            <v>1.4344852826129101E-4</v>
          </cell>
          <cell r="J123">
            <v>1.4348577378886799E-4</v>
          </cell>
        </row>
        <row r="124">
          <cell r="B124" t="str">
            <v>SUP_WSTBIO</v>
          </cell>
          <cell r="C124" t="str">
            <v>VAR_fout</v>
          </cell>
          <cell r="D124" t="str">
            <v>ELC35</v>
          </cell>
          <cell r="E124">
            <v>0.11258834983703246</v>
          </cell>
          <cell r="F124">
            <v>0.12475685848329146</v>
          </cell>
          <cell r="G124">
            <v>0.12057336772875972</v>
          </cell>
          <cell r="H124">
            <v>0.1243674468216789</v>
          </cell>
          <cell r="I124">
            <v>0.121006488764047</v>
          </cell>
          <cell r="J124">
            <v>0.17338709604414279</v>
          </cell>
        </row>
        <row r="125">
          <cell r="B125" t="str">
            <v>SUP_WSTBIO</v>
          </cell>
          <cell r="C125" t="str">
            <v>VAR_fout</v>
          </cell>
          <cell r="D125" t="str">
            <v>BIO</v>
          </cell>
          <cell r="E125">
            <v>5.6294174918516209</v>
          </cell>
          <cell r="F125">
            <v>6.2378429241645739</v>
          </cell>
          <cell r="G125">
            <v>6.0286683864379818</v>
          </cell>
          <cell r="H125">
            <v>6.218372341083942</v>
          </cell>
          <cell r="I125">
            <v>6.0503244382023569</v>
          </cell>
          <cell r="J125">
            <v>8.6693548022071347</v>
          </cell>
        </row>
        <row r="126">
          <cell r="B126" t="str">
            <v>SUP_WSTBIO</v>
          </cell>
          <cell r="C126" t="str">
            <v>VAR_fin</v>
          </cell>
          <cell r="D126" t="str">
            <v>CWST</v>
          </cell>
          <cell r="E126">
            <v>9.6793812759894422</v>
          </cell>
          <cell r="F126">
            <v>10.725525347892107</v>
          </cell>
          <cell r="G126">
            <v>10.365864671309646</v>
          </cell>
          <cell r="H126">
            <v>10.692047071040907</v>
          </cell>
          <cell r="I126">
            <v>10.403100705457648</v>
          </cell>
          <cell r="J126">
            <v>14.906336342766446</v>
          </cell>
        </row>
        <row r="127">
          <cell r="B127" t="str">
            <v>SUP_WSTBIO</v>
          </cell>
          <cell r="C127" t="str">
            <v>VAR_ncap</v>
          </cell>
          <cell r="D127" t="str">
            <v>-</v>
          </cell>
          <cell r="E127">
            <v>4.0981962484346402E-3</v>
          </cell>
          <cell r="F127">
            <v>2.2983918067510999E-2</v>
          </cell>
          <cell r="G127">
            <v>6.3658704703104502E-7</v>
          </cell>
          <cell r="H127">
            <v>7.2850472037625305E-2</v>
          </cell>
          <cell r="I127">
            <v>2.5512680171725199E-2</v>
          </cell>
          <cell r="J127">
            <v>0.18993646847950901</v>
          </cell>
        </row>
        <row r="128">
          <cell r="B128" t="str">
            <v>SUP_WSTBIO</v>
          </cell>
          <cell r="C128" t="str">
            <v>VAR_cap</v>
          </cell>
          <cell r="D128" t="str">
            <v>-</v>
          </cell>
          <cell r="E128">
            <v>0.21266828890725623</v>
          </cell>
          <cell r="F128">
            <v>0.23565202024441026</v>
          </cell>
          <cell r="G128">
            <v>0.23564940385982105</v>
          </cell>
          <cell r="H128">
            <v>0.23491636996492285</v>
          </cell>
          <cell r="I128">
            <v>0.22856750319213043</v>
          </cell>
          <cell r="J128">
            <v>0.32750871525709846</v>
          </cell>
        </row>
        <row r="129">
          <cell r="B129" t="str">
            <v>ITOT-CHPNGACCS</v>
          </cell>
          <cell r="C129" t="str">
            <v>VAR_fout</v>
          </cell>
          <cell r="D129" t="str">
            <v>CO2_I</v>
          </cell>
          <cell r="I129">
            <v>8.7851535280569996E-3</v>
          </cell>
          <cell r="J129">
            <v>5.2145782319157497E-3</v>
          </cell>
        </row>
        <row r="130">
          <cell r="B130" t="str">
            <v>ITOT-CHPNGACCS</v>
          </cell>
          <cell r="C130" t="str">
            <v>VAR_fin</v>
          </cell>
          <cell r="D130" t="str">
            <v>INGA</v>
          </cell>
          <cell r="I130">
            <v>1.5576513347618807E-4</v>
          </cell>
          <cell r="J130">
            <v>9.2457060849570092E-5</v>
          </cell>
        </row>
        <row r="131">
          <cell r="B131" t="str">
            <v>SCOM-ESOLPV</v>
          </cell>
          <cell r="C131" t="str">
            <v>VAR_fout</v>
          </cell>
          <cell r="D131" t="str">
            <v>SCOM_SOL_ELC</v>
          </cell>
          <cell r="E131">
            <v>2.8396236857719668</v>
          </cell>
          <cell r="F131">
            <v>3.2944551635429171</v>
          </cell>
          <cell r="G131">
            <v>9.9665054708757328</v>
          </cell>
          <cell r="H131">
            <v>10.737623680634032</v>
          </cell>
          <cell r="I131">
            <v>11.861023481875385</v>
          </cell>
          <cell r="J131">
            <v>13.101950779696397</v>
          </cell>
        </row>
        <row r="132">
          <cell r="B132" t="str">
            <v>SCOM-ESOLPV</v>
          </cell>
          <cell r="C132" t="str">
            <v>VAR_fin</v>
          </cell>
          <cell r="D132" t="str">
            <v>SOL</v>
          </cell>
          <cell r="E132">
            <v>2.8396236857719668</v>
          </cell>
          <cell r="F132">
            <v>3.2944551635429171</v>
          </cell>
          <cell r="G132">
            <v>9.9665054708757328</v>
          </cell>
          <cell r="H132">
            <v>10.737623680634032</v>
          </cell>
          <cell r="I132">
            <v>11.861023481875385</v>
          </cell>
          <cell r="J132">
            <v>13.101950779696397</v>
          </cell>
        </row>
        <row r="133">
          <cell r="B133" t="str">
            <v>SCOM-ESOLPV</v>
          </cell>
          <cell r="C133" t="str">
            <v>VAR_fin</v>
          </cell>
          <cell r="D133" t="str">
            <v>SOLPVC</v>
          </cell>
          <cell r="E133">
            <v>2.8396236857719699</v>
          </cell>
          <cell r="F133">
            <v>3.29445516354291</v>
          </cell>
          <cell r="G133">
            <v>9.9665054708757399</v>
          </cell>
          <cell r="H133">
            <v>10.737623680634</v>
          </cell>
          <cell r="I133">
            <v>11.861023481875399</v>
          </cell>
          <cell r="J133">
            <v>13.1019507796964</v>
          </cell>
        </row>
        <row r="134">
          <cell r="B134" t="str">
            <v>SCOM-ESOLPV</v>
          </cell>
          <cell r="C134" t="str">
            <v>VAR_ncap</v>
          </cell>
          <cell r="D134" t="str">
            <v>-</v>
          </cell>
          <cell r="F134">
            <v>4.2892360603492903E-8</v>
          </cell>
          <cell r="G134">
            <v>2.0046864759329899</v>
          </cell>
          <cell r="H134">
            <v>7.0553639899575305E-7</v>
          </cell>
          <cell r="I134">
            <v>0.57339899076638601</v>
          </cell>
          <cell r="J134">
            <v>2.70569527276486</v>
          </cell>
        </row>
        <row r="135">
          <cell r="B135" t="str">
            <v>SCOM-ESOLPV</v>
          </cell>
          <cell r="C135" t="str">
            <v>VAR_cap</v>
          </cell>
          <cell r="D135" t="str">
            <v>-</v>
          </cell>
          <cell r="E135">
            <v>0.90292899999999998</v>
          </cell>
          <cell r="F135">
            <v>1.1231013044603706</v>
          </cell>
          <cell r="G135">
            <v>3.1799155188253501</v>
          </cell>
          <cell r="H135">
            <v>3.0953464026024302</v>
          </cell>
          <cell r="I135">
            <v>3.419190137837619</v>
          </cell>
          <cell r="J135">
            <v>3.7769117237251</v>
          </cell>
        </row>
        <row r="136">
          <cell r="B136" t="str">
            <v>D-SCOM_LTH</v>
          </cell>
          <cell r="C136" t="str">
            <v>VAR_fout</v>
          </cell>
          <cell r="D136" t="str">
            <v>SCOM_LTH_DH</v>
          </cell>
          <cell r="E136">
            <v>5.6100060039930773</v>
          </cell>
          <cell r="F136">
            <v>6.0767049657482319</v>
          </cell>
          <cell r="G136">
            <v>5.9724310178058841</v>
          </cell>
          <cell r="H136">
            <v>6.9388697433061797</v>
          </cell>
          <cell r="I136">
            <v>7.8909819168933808</v>
          </cell>
          <cell r="J136">
            <v>8.3851592269940767</v>
          </cell>
        </row>
        <row r="137">
          <cell r="B137" t="str">
            <v>D-SCOM_LTH</v>
          </cell>
          <cell r="C137" t="str">
            <v>VAR_fin</v>
          </cell>
          <cell r="D137" t="str">
            <v>LTH</v>
          </cell>
          <cell r="E137">
            <v>6.0987822607958986</v>
          </cell>
          <cell r="F137">
            <v>6.6044065684186668</v>
          </cell>
          <cell r="G137">
            <v>6.4885195694343905</v>
          </cell>
          <cell r="H137">
            <v>7.5335222095154908</v>
          </cell>
          <cell r="I137">
            <v>8.5559979150563343</v>
          </cell>
          <cell r="J137">
            <v>9.079918830013515</v>
          </cell>
        </row>
        <row r="138">
          <cell r="B138" t="str">
            <v>D-SCOM_LTH</v>
          </cell>
          <cell r="C138" t="str">
            <v>VAR_ncap</v>
          </cell>
          <cell r="D138" t="str">
            <v>-</v>
          </cell>
          <cell r="E138">
            <v>0.84970006320133296</v>
          </cell>
          <cell r="F138">
            <v>4.3229671431621098E-8</v>
          </cell>
          <cell r="G138">
            <v>4.9622099162726002E-8</v>
          </cell>
          <cell r="H138">
            <v>5.7553939351773098E-8</v>
          </cell>
          <cell r="I138">
            <v>1.07405668670739E-7</v>
          </cell>
          <cell r="J138">
            <v>1.6803125609709899E-7</v>
          </cell>
        </row>
        <row r="139">
          <cell r="B139" t="str">
            <v>D-SCOM_LTH</v>
          </cell>
          <cell r="C139" t="str">
            <v>VAR_cap</v>
          </cell>
          <cell r="D139" t="str">
            <v>-</v>
          </cell>
          <cell r="E139">
            <v>0.84970006320133296</v>
          </cell>
          <cell r="F139">
            <v>0.84970010643100402</v>
          </cell>
          <cell r="G139">
            <v>0.84970015605310301</v>
          </cell>
          <cell r="H139">
            <v>0.84970021360704295</v>
          </cell>
          <cell r="I139">
            <v>0.84970040645303702</v>
          </cell>
          <cell r="J139">
            <v>0.84970057448429304</v>
          </cell>
        </row>
        <row r="140">
          <cell r="B140" t="str">
            <v>EHYD-RUNS15</v>
          </cell>
          <cell r="C140" t="str">
            <v>VAR_fout</v>
          </cell>
          <cell r="D140" t="str">
            <v>ELC35</v>
          </cell>
          <cell r="F140">
            <v>5.5517312389687741E-4</v>
          </cell>
          <cell r="G140">
            <v>2.670536078761573E-3</v>
          </cell>
          <cell r="H140">
            <v>2.6579769419738174E-3</v>
          </cell>
          <cell r="I140">
            <v>2.9561822548274503E-3</v>
          </cell>
          <cell r="J140">
            <v>3.0291561845822144E-3</v>
          </cell>
        </row>
        <row r="141">
          <cell r="B141" t="str">
            <v>EHYD-RUNS15</v>
          </cell>
          <cell r="C141" t="str">
            <v>VAR_fin</v>
          </cell>
          <cell r="D141" t="str">
            <v>HYDR</v>
          </cell>
          <cell r="F141">
            <v>5.5517312389687741E-4</v>
          </cell>
          <cell r="G141">
            <v>2.670536078761573E-3</v>
          </cell>
          <cell r="H141">
            <v>2.6579769419738174E-3</v>
          </cell>
          <cell r="I141">
            <v>2.9561822548274503E-3</v>
          </cell>
          <cell r="J141">
            <v>3.0291561845822144E-3</v>
          </cell>
        </row>
        <row r="142">
          <cell r="B142" t="str">
            <v>EHYD-RUNS15</v>
          </cell>
          <cell r="C142" t="str">
            <v>VAR_ncap</v>
          </cell>
          <cell r="D142" t="str">
            <v>-</v>
          </cell>
          <cell r="F142">
            <v>4.6982916983277503E-5</v>
          </cell>
          <cell r="G142">
            <v>1.5204091712398999E-4</v>
          </cell>
          <cell r="H142">
            <v>5.2472101461552902E-7</v>
          </cell>
          <cell r="I142">
            <v>1.3587319733748301E-7</v>
          </cell>
          <cell r="J142">
            <v>1.6992508482455801E-7</v>
          </cell>
        </row>
        <row r="143">
          <cell r="B143" t="str">
            <v>EHYD-RUNS15</v>
          </cell>
          <cell r="C143" t="str">
            <v>VAR_cap</v>
          </cell>
          <cell r="D143" t="str">
            <v>-</v>
          </cell>
          <cell r="F143">
            <v>4.6982916983277503E-5</v>
          </cell>
          <cell r="G143">
            <v>1.99023834107268E-4</v>
          </cell>
          <cell r="H143">
            <v>1.99548555121883E-4</v>
          </cell>
          <cell r="I143">
            <v>1.9981304941749499E-4</v>
          </cell>
          <cell r="J143">
            <v>1.9998297450231901E-4</v>
          </cell>
        </row>
        <row r="144">
          <cell r="B144" t="str">
            <v>EHYD-RUN10</v>
          </cell>
          <cell r="C144" t="str">
            <v>VAR_fout</v>
          </cell>
          <cell r="D144" t="str">
            <v>ELC13</v>
          </cell>
          <cell r="F144">
            <v>1.7939525128464198E-3</v>
          </cell>
          <cell r="G144">
            <v>5.6183609894928368E-3</v>
          </cell>
          <cell r="H144">
            <v>5.7483700424266777E-3</v>
          </cell>
          <cell r="I144">
            <v>6.2336098602655777E-3</v>
          </cell>
          <cell r="J144">
            <v>6.0659093884280852E-3</v>
          </cell>
        </row>
        <row r="145">
          <cell r="B145" t="str">
            <v>EHYD-RUN10</v>
          </cell>
          <cell r="C145" t="str">
            <v>VAR_fin</v>
          </cell>
          <cell r="D145" t="str">
            <v>HYDR</v>
          </cell>
          <cell r="F145">
            <v>1.7939525128464198E-3</v>
          </cell>
          <cell r="G145">
            <v>5.6183609894928368E-3</v>
          </cell>
          <cell r="H145">
            <v>5.7483700424266777E-3</v>
          </cell>
          <cell r="I145">
            <v>6.2336098602655777E-3</v>
          </cell>
          <cell r="J145">
            <v>6.0659093884280852E-3</v>
          </cell>
        </row>
        <row r="146">
          <cell r="B146" t="str">
            <v>EHYD-RUN10</v>
          </cell>
          <cell r="C146" t="str">
            <v>VAR_ncap</v>
          </cell>
          <cell r="D146" t="str">
            <v>-</v>
          </cell>
          <cell r="F146">
            <v>1.5377748526750201E-4</v>
          </cell>
          <cell r="G146">
            <v>3.4584220502738099E-4</v>
          </cell>
          <cell r="H146">
            <v>2.5216636035723899E-8</v>
          </cell>
          <cell r="I146">
            <v>2.3653202481473199E-8</v>
          </cell>
          <cell r="J146">
            <v>3.1833830298627498E-8</v>
          </cell>
        </row>
        <row r="147">
          <cell r="B147" t="str">
            <v>EHYD-RUN10</v>
          </cell>
          <cell r="C147" t="str">
            <v>VAR_cap</v>
          </cell>
          <cell r="D147" t="str">
            <v>-</v>
          </cell>
          <cell r="F147">
            <v>1.5377748526750201E-4</v>
          </cell>
          <cell r="G147">
            <v>4.9961969029488297E-4</v>
          </cell>
          <cell r="H147">
            <v>4.9964490693091897E-4</v>
          </cell>
          <cell r="I147">
            <v>4.99693512269459E-4</v>
          </cell>
          <cell r="J147">
            <v>4.9972534609975803E-4</v>
          </cell>
        </row>
        <row r="148">
          <cell r="B148" t="str">
            <v>ITOT-CHPWOD</v>
          </cell>
          <cell r="C148" t="str">
            <v>VAR_fout</v>
          </cell>
          <cell r="D148" t="str">
            <v>ITOT_LTH_CHP</v>
          </cell>
          <cell r="E148">
            <v>0.65968931384381047</v>
          </cell>
          <cell r="F148">
            <v>1.8166905014402606</v>
          </cell>
          <cell r="G148">
            <v>3.3717301616590234</v>
          </cell>
          <cell r="H148">
            <v>3.2755717831571438</v>
          </cell>
          <cell r="I148">
            <v>6.2816565928333938</v>
          </cell>
          <cell r="J148">
            <v>8.2678649353494897</v>
          </cell>
        </row>
        <row r="149">
          <cell r="B149" t="str">
            <v>ITOT-CHPWOD</v>
          </cell>
          <cell r="C149" t="str">
            <v>VAR_fout</v>
          </cell>
          <cell r="D149" t="str">
            <v>ITOT_KEV_WOD_ELC_CHP</v>
          </cell>
          <cell r="E149">
            <v>0.17249357746153715</v>
          </cell>
          <cell r="F149">
            <v>0.52164483703263809</v>
          </cell>
          <cell r="G149">
            <v>1.1352984436908105</v>
          </cell>
          <cell r="H149">
            <v>1.5484521156742825</v>
          </cell>
          <cell r="I149">
            <v>2.9695103893394172</v>
          </cell>
          <cell r="J149">
            <v>3.9084452421652069</v>
          </cell>
        </row>
        <row r="150">
          <cell r="B150" t="str">
            <v>ITOT-CHPWOD</v>
          </cell>
          <cell r="C150" t="str">
            <v>VAR_fin</v>
          </cell>
          <cell r="D150" t="str">
            <v>IWOD</v>
          </cell>
          <cell r="E150">
            <v>0.87289207982672701</v>
          </cell>
          <cell r="F150">
            <v>2.3100512459393494</v>
          </cell>
          <cell r="G150">
            <v>4.523496973712323</v>
          </cell>
          <cell r="H150">
            <v>4.5744693717646721</v>
          </cell>
          <cell r="I150">
            <v>8.4100761619326221</v>
          </cell>
          <cell r="J150">
            <v>10.630000248137483</v>
          </cell>
        </row>
        <row r="151">
          <cell r="B151" t="str">
            <v>ITOT-CHPWOD</v>
          </cell>
          <cell r="C151" t="str">
            <v>VAR_ncap</v>
          </cell>
          <cell r="D151" t="str">
            <v>-</v>
          </cell>
          <cell r="F151">
            <v>1.7608592305488099E-2</v>
          </cell>
          <cell r="G151">
            <v>2.2689321211042099E-2</v>
          </cell>
          <cell r="H151">
            <v>1.52769241172641E-2</v>
          </cell>
          <cell r="I151">
            <v>5.8910766056287402E-2</v>
          </cell>
          <cell r="J151">
            <v>8.3509448700531896E-2</v>
          </cell>
        </row>
        <row r="152">
          <cell r="B152" t="str">
            <v>ITOT-CHPWOD</v>
          </cell>
          <cell r="C152" t="str">
            <v>VAR_cap</v>
          </cell>
          <cell r="D152" t="str">
            <v>-</v>
          </cell>
          <cell r="E152">
            <v>7.0317910702869801E-3</v>
          </cell>
          <cell r="F152">
            <v>1.9287510693419628E-2</v>
          </cell>
          <cell r="G152">
            <v>4.1976642769030077E-2</v>
          </cell>
          <cell r="H152">
            <v>5.7253345589838307E-2</v>
          </cell>
          <cell r="I152">
            <v>0.1167495949590551</v>
          </cell>
          <cell r="J152">
            <v>0.14461510164157876</v>
          </cell>
        </row>
        <row r="153">
          <cell r="B153" t="str">
            <v>EHYD-RUN15</v>
          </cell>
          <cell r="C153" t="str">
            <v>VAR_fout</v>
          </cell>
          <cell r="D153" t="str">
            <v>ELC13</v>
          </cell>
          <cell r="F153">
            <v>7.7079850710733957E-4</v>
          </cell>
          <cell r="G153">
            <v>7.8737173555724004E-4</v>
          </cell>
          <cell r="H153">
            <v>2.7607573025858413E-3</v>
          </cell>
          <cell r="I153">
            <v>3.8505322233164819E-3</v>
          </cell>
          <cell r="J153">
            <v>3.8392795515822722E-3</v>
          </cell>
        </row>
        <row r="154">
          <cell r="B154" t="str">
            <v>EHYD-RUN15</v>
          </cell>
          <cell r="C154" t="str">
            <v>VAR_fin</v>
          </cell>
          <cell r="D154" t="str">
            <v>HYDR</v>
          </cell>
          <cell r="F154">
            <v>7.7079850710733957E-4</v>
          </cell>
          <cell r="G154">
            <v>7.8737173555724004E-4</v>
          </cell>
          <cell r="H154">
            <v>2.7607573025858413E-3</v>
          </cell>
          <cell r="I154">
            <v>3.8505322233164819E-3</v>
          </cell>
          <cell r="J154">
            <v>3.8392795515822722E-3</v>
          </cell>
        </row>
        <row r="155">
          <cell r="B155" t="str">
            <v>EHYD-RUN15</v>
          </cell>
          <cell r="C155" t="str">
            <v>VAR_ncap</v>
          </cell>
          <cell r="D155" t="str">
            <v>-</v>
          </cell>
          <cell r="F155">
            <v>6.58321748477943E-5</v>
          </cell>
          <cell r="G155">
            <v>2.09249432755893E-4</v>
          </cell>
          <cell r="H155">
            <v>3.12888749881673E-7</v>
          </cell>
          <cell r="I155">
            <v>4.0688369326771101E-7</v>
          </cell>
          <cell r="J155">
            <v>4.1653312023498798E-7</v>
          </cell>
        </row>
        <row r="156">
          <cell r="B156" t="str">
            <v>EHYD-RUN15</v>
          </cell>
          <cell r="C156" t="str">
            <v>VAR_cap</v>
          </cell>
          <cell r="D156" t="str">
            <v>-</v>
          </cell>
          <cell r="F156">
            <v>6.58321748477943E-5</v>
          </cell>
          <cell r="G156">
            <v>6.58321748477943E-5</v>
          </cell>
          <cell r="H156">
            <v>2.1164569520730901E-4</v>
          </cell>
          <cell r="I156">
            <v>2.7569252944831398E-4</v>
          </cell>
          <cell r="J156">
            <v>2.7632649732328203E-4</v>
          </cell>
        </row>
        <row r="157">
          <cell r="B157" t="str">
            <v>SCOM-SWHSTG-CHPWOD</v>
          </cell>
          <cell r="C157" t="str">
            <v>VAR_fout</v>
          </cell>
          <cell r="D157" t="str">
            <v>AUX_SCOM-CHPWOD_OUT</v>
          </cell>
          <cell r="E157">
            <v>1.7462959975698034E-4</v>
          </cell>
          <cell r="F157">
            <v>2.6560795767227314E-4</v>
          </cell>
          <cell r="G157">
            <v>2.7129955676530825E-4</v>
          </cell>
          <cell r="H157">
            <v>9.0557338473747726E-3</v>
          </cell>
          <cell r="I157">
            <v>1.9873346705510508E-2</v>
          </cell>
          <cell r="J157">
            <v>5.1690087283999472E-2</v>
          </cell>
        </row>
        <row r="158">
          <cell r="B158" t="str">
            <v>SCOM-SWHSTG-CHPWOD</v>
          </cell>
          <cell r="C158" t="str">
            <v>VAR_fout</v>
          </cell>
          <cell r="D158" t="str">
            <v>SCOM_LTH_CHPWOD</v>
          </cell>
          <cell r="E158">
            <v>1.7462959975698061E-4</v>
          </cell>
          <cell r="F158">
            <v>2.6582505740779089E-4</v>
          </cell>
          <cell r="G158">
            <v>2.7164604406641334E-4</v>
          </cell>
          <cell r="H158">
            <v>9.0557338473747518E-3</v>
          </cell>
          <cell r="I158">
            <v>1.9873346705510483E-2</v>
          </cell>
          <cell r="J158">
            <v>5.1690087283999465E-2</v>
          </cell>
        </row>
        <row r="159">
          <cell r="B159" t="str">
            <v>SCOM-SWHSTG-CHPWOD</v>
          </cell>
          <cell r="C159" t="str">
            <v>VAR_fin</v>
          </cell>
          <cell r="D159" t="str">
            <v>AUX_SCOM-CHPWOD_IN</v>
          </cell>
          <cell r="E159">
            <v>1.7462959975698061E-4</v>
          </cell>
          <cell r="F159">
            <v>2.6582505740779089E-4</v>
          </cell>
          <cell r="G159">
            <v>2.7164604406641334E-4</v>
          </cell>
          <cell r="H159">
            <v>1.0391542840861287E-2</v>
          </cell>
          <cell r="I159">
            <v>2.1363060302388524E-2</v>
          </cell>
          <cell r="J159">
            <v>5.2213306025180511E-2</v>
          </cell>
        </row>
        <row r="160">
          <cell r="B160" t="str">
            <v>SCOM-SWHSTG-CHPWOD</v>
          </cell>
          <cell r="C160" t="str">
            <v>VAR_fin</v>
          </cell>
          <cell r="D160" t="str">
            <v>SCOM_LTH_CHPWOD</v>
          </cell>
          <cell r="E160">
            <v>1.7462959975698061E-4</v>
          </cell>
          <cell r="F160">
            <v>2.6582505740779089E-4</v>
          </cell>
          <cell r="G160">
            <v>2.7164604406641334E-4</v>
          </cell>
          <cell r="H160">
            <v>1.0391542840861287E-2</v>
          </cell>
          <cell r="I160">
            <v>2.1363060302388524E-2</v>
          </cell>
          <cell r="J160">
            <v>5.2213306025180511E-2</v>
          </cell>
        </row>
        <row r="161">
          <cell r="B161" t="str">
            <v>SCOM-SWHSTG-CHPWOD</v>
          </cell>
          <cell r="C161" t="str">
            <v>VAR_ncap</v>
          </cell>
          <cell r="D161" t="str">
            <v>-</v>
          </cell>
          <cell r="E161">
            <v>1.0897473102493701E-3</v>
          </cell>
          <cell r="F161">
            <v>3.3259436030877597E-5</v>
          </cell>
          <cell r="G161">
            <v>4.9004044706852898E-5</v>
          </cell>
          <cell r="H161">
            <v>4.5092289979248202E-5</v>
          </cell>
          <cell r="I161">
            <v>9.2317287923225494E-5</v>
          </cell>
          <cell r="J161">
            <v>2.4897192703083799E-3</v>
          </cell>
        </row>
        <row r="162">
          <cell r="B162" t="str">
            <v>SCOM-SWHSTG-CHPWOD</v>
          </cell>
          <cell r="C162" t="str">
            <v>VAR_cap</v>
          </cell>
          <cell r="D162" t="str">
            <v>-</v>
          </cell>
          <cell r="E162">
            <v>1.0897473102493701E-3</v>
          </cell>
          <cell r="F162">
            <v>1.119187231255387E-3</v>
          </cell>
          <cell r="G162">
            <v>1.1604014237519499E-3</v>
          </cell>
          <cell r="H162">
            <v>1.187576662998351E-3</v>
          </cell>
          <cell r="I162">
            <v>1.6783987790075191E-3</v>
          </cell>
          <cell r="J162">
            <v>3.2098495924793211E-3</v>
          </cell>
        </row>
        <row r="163">
          <cell r="B163" t="str">
            <v>RHNM-ESOLPV</v>
          </cell>
          <cell r="C163" t="str">
            <v>VAR_fout</v>
          </cell>
          <cell r="D163" t="str">
            <v>RHNM_SOL_ELC</v>
          </cell>
          <cell r="F163">
            <v>3.2073209388496494E-5</v>
          </cell>
          <cell r="G163">
            <v>1.7164588070343028</v>
          </cell>
          <cell r="H163">
            <v>1.899782245238586</v>
          </cell>
          <cell r="I163">
            <v>2.0985414855080826</v>
          </cell>
          <cell r="J163">
            <v>2.3180967529260994</v>
          </cell>
        </row>
        <row r="164">
          <cell r="B164" t="str">
            <v>RHNM-ESOLPV</v>
          </cell>
          <cell r="C164" t="str">
            <v>VAR_fin</v>
          </cell>
          <cell r="D164" t="str">
            <v>SOL</v>
          </cell>
          <cell r="F164">
            <v>3.2073209388496494E-5</v>
          </cell>
          <cell r="G164">
            <v>1.7164588070343028</v>
          </cell>
          <cell r="H164">
            <v>1.899782245238586</v>
          </cell>
          <cell r="I164">
            <v>2.0985414855080826</v>
          </cell>
          <cell r="J164">
            <v>2.3180967529260994</v>
          </cell>
        </row>
        <row r="165">
          <cell r="B165" t="str">
            <v>RHNM-ESOLPV</v>
          </cell>
          <cell r="C165" t="str">
            <v>VAR_fin</v>
          </cell>
          <cell r="D165" t="str">
            <v>SOLPVC</v>
          </cell>
          <cell r="F165">
            <v>3.2073209388496501E-5</v>
          </cell>
          <cell r="G165">
            <v>1.7164588070343001</v>
          </cell>
          <cell r="H165">
            <v>1.89978224523858</v>
          </cell>
          <cell r="I165">
            <v>2.09854148550808</v>
          </cell>
          <cell r="J165">
            <v>2.3180967529260998</v>
          </cell>
        </row>
        <row r="166">
          <cell r="B166" t="str">
            <v>RHNM-ESOLPV</v>
          </cell>
          <cell r="C166" t="str">
            <v>VAR_ncap</v>
          </cell>
          <cell r="D166" t="str">
            <v>-</v>
          </cell>
          <cell r="F166">
            <v>1.097563302395E-5</v>
          </cell>
          <cell r="G166">
            <v>0.54764417648029096</v>
          </cell>
          <cell r="H166">
            <v>2.8780414740088098E-7</v>
          </cell>
          <cell r="I166">
            <v>2.9366639350457802E-2</v>
          </cell>
          <cell r="J166">
            <v>0.61661394248206203</v>
          </cell>
        </row>
        <row r="167">
          <cell r="B167" t="str">
            <v>RHNM-ESOLPV</v>
          </cell>
          <cell r="C167" t="str">
            <v>VAR_cap</v>
          </cell>
          <cell r="D167" t="str">
            <v>-</v>
          </cell>
          <cell r="F167">
            <v>1.097563302395E-5</v>
          </cell>
          <cell r="G167">
            <v>0.54765515211331495</v>
          </cell>
          <cell r="H167">
            <v>0.54765543991746202</v>
          </cell>
          <cell r="I167">
            <v>0.60495295485598899</v>
          </cell>
          <cell r="J167">
            <v>0.66824187335014595</v>
          </cell>
        </row>
        <row r="168">
          <cell r="B168" t="str">
            <v>CHPNGA</v>
          </cell>
          <cell r="C168" t="str">
            <v>VAR_fout</v>
          </cell>
          <cell r="D168" t="str">
            <v>ELC35</v>
          </cell>
          <cell r="E168">
            <v>0.96588432301512239</v>
          </cell>
          <cell r="F168">
            <v>4.9159196224799525E-4</v>
          </cell>
          <cell r="G168">
            <v>2.2458114808337638E-3</v>
          </cell>
          <cell r="H168">
            <v>3.0267098597734103E-3</v>
          </cell>
          <cell r="I168">
            <v>0.47291117227983281</v>
          </cell>
          <cell r="J168">
            <v>0.94445611531668761</v>
          </cell>
        </row>
        <row r="169">
          <cell r="B169" t="str">
            <v>CHPNGA</v>
          </cell>
          <cell r="C169" t="str">
            <v>VAR_fout</v>
          </cell>
          <cell r="D169" t="str">
            <v>LTH</v>
          </cell>
          <cell r="E169">
            <v>1.8035578924335971</v>
          </cell>
          <cell r="F169">
            <v>9.4462097596622837E-4</v>
          </cell>
          <cell r="G169">
            <v>4.498352035790909E-3</v>
          </cell>
          <cell r="H169">
            <v>6.4733206188135667E-3</v>
          </cell>
          <cell r="I169">
            <v>1.0005545683989538</v>
          </cell>
          <cell r="J169">
            <v>1.9769609139696103</v>
          </cell>
        </row>
        <row r="170">
          <cell r="B170" t="str">
            <v>CHPNGA</v>
          </cell>
          <cell r="C170" t="str">
            <v>VAR_fout</v>
          </cell>
          <cell r="D170" t="str">
            <v>CO2_E</v>
          </cell>
          <cell r="E170">
            <v>207.53777685943999</v>
          </cell>
          <cell r="F170">
            <v>0.13037777472374401</v>
          </cell>
          <cell r="G170">
            <v>0.64935038196442396</v>
          </cell>
          <cell r="H170">
            <v>0.71146254444250601</v>
          </cell>
          <cell r="I170">
            <v>107.268767712505</v>
          </cell>
          <cell r="J170">
            <v>211.91792257661101</v>
          </cell>
        </row>
        <row r="171">
          <cell r="B171" t="str">
            <v>CHPNGA</v>
          </cell>
          <cell r="C171" t="str">
            <v>VAR_fin</v>
          </cell>
          <cell r="D171" t="str">
            <v>ENGA</v>
          </cell>
          <cell r="E171">
            <v>3.6797478166567394</v>
          </cell>
          <cell r="F171">
            <v>2.3116626724068103E-3</v>
          </cell>
          <cell r="G171">
            <v>1.1513304644759276E-2</v>
          </cell>
          <cell r="H171">
            <v>1.2614584121321036E-2</v>
          </cell>
          <cell r="I171">
            <v>1.9019285055408759</v>
          </cell>
          <cell r="J171">
            <v>3.7574099747626124</v>
          </cell>
        </row>
        <row r="172">
          <cell r="B172" t="str">
            <v>CHPNGA</v>
          </cell>
          <cell r="C172" t="str">
            <v>VAR_ncap</v>
          </cell>
          <cell r="D172" t="str">
            <v>-</v>
          </cell>
          <cell r="F172">
            <v>3.13310782231843E-7</v>
          </cell>
          <cell r="G172">
            <v>2.01192122687136E-4</v>
          </cell>
          <cell r="H172">
            <v>5.3680563069810403E-6</v>
          </cell>
          <cell r="I172">
            <v>6.5877102043432195E-2</v>
          </cell>
          <cell r="J172">
            <v>3.2563771218894799E-4</v>
          </cell>
        </row>
        <row r="173">
          <cell r="B173" t="str">
            <v>CHPNGA</v>
          </cell>
          <cell r="C173" t="str">
            <v>VAR_cap</v>
          </cell>
          <cell r="D173" t="str">
            <v>-</v>
          </cell>
          <cell r="E173">
            <v>5.0263576039499998E-2</v>
          </cell>
          <cell r="F173">
            <v>1.6755537226632866E-4</v>
          </cell>
          <cell r="G173">
            <v>3.6861597580195582E-4</v>
          </cell>
          <cell r="H173">
            <v>3.7220521587964794E-4</v>
          </cell>
          <cell r="I173">
            <v>6.6348095267336718E-2</v>
          </cell>
          <cell r="J173">
            <v>6.6415394877501727E-2</v>
          </cell>
        </row>
        <row r="174">
          <cell r="B174" t="str">
            <v>EHYD-PUM00</v>
          </cell>
          <cell r="C174" t="str">
            <v>VAR_fout</v>
          </cell>
          <cell r="D174" t="str">
            <v>ELC</v>
          </cell>
          <cell r="E174">
            <v>12.841922550806515</v>
          </cell>
          <cell r="F174">
            <v>16.032969021361339</v>
          </cell>
          <cell r="G174">
            <v>34.851621611265287</v>
          </cell>
          <cell r="H174">
            <v>12.517329280212142</v>
          </cell>
          <cell r="I174">
            <v>12.736693045274725</v>
          </cell>
          <cell r="J174">
            <v>12.92056725583541</v>
          </cell>
        </row>
        <row r="175">
          <cell r="B175" t="str">
            <v>EHYD-PUM00</v>
          </cell>
          <cell r="C175" t="str">
            <v>VAR_fout</v>
          </cell>
          <cell r="D175" t="str">
            <v>AUX_PUMP_OUT</v>
          </cell>
          <cell r="E175">
            <v>12.841922550806515</v>
          </cell>
          <cell r="F175">
            <v>16.032969021361339</v>
          </cell>
          <cell r="G175">
            <v>34.851621611265287</v>
          </cell>
          <cell r="H175">
            <v>12.517329280212142</v>
          </cell>
          <cell r="I175">
            <v>12.736693045274725</v>
          </cell>
          <cell r="J175">
            <v>12.92056725583541</v>
          </cell>
        </row>
        <row r="176">
          <cell r="B176" t="str">
            <v>EHYD-PUM00</v>
          </cell>
          <cell r="C176" t="str">
            <v>VAR_fin</v>
          </cell>
          <cell r="D176" t="str">
            <v>AUX_PUMP_IN</v>
          </cell>
          <cell r="E176">
            <v>16.052406182846379</v>
          </cell>
          <cell r="F176">
            <v>20.041212148531844</v>
          </cell>
          <cell r="G176">
            <v>43.564527014079509</v>
          </cell>
          <cell r="H176">
            <v>15.646661365395662</v>
          </cell>
          <cell r="I176">
            <v>15.92086479996013</v>
          </cell>
          <cell r="J176">
            <v>16.150707000919258</v>
          </cell>
        </row>
        <row r="177">
          <cell r="B177" t="str">
            <v>EHYD-PUM00</v>
          </cell>
          <cell r="C177" t="str">
            <v>VAR_fin</v>
          </cell>
          <cell r="D177" t="str">
            <v>ELC</v>
          </cell>
          <cell r="E177">
            <v>16.052406182846379</v>
          </cell>
          <cell r="F177">
            <v>20.041212148531844</v>
          </cell>
          <cell r="G177">
            <v>43.564527014079509</v>
          </cell>
          <cell r="H177">
            <v>15.646661365395662</v>
          </cell>
          <cell r="I177">
            <v>15.92086479996013</v>
          </cell>
          <cell r="J177">
            <v>16.150707000919258</v>
          </cell>
        </row>
        <row r="178">
          <cell r="B178" t="str">
            <v>EHYD-PUM00</v>
          </cell>
          <cell r="C178" t="str">
            <v>VAR_cap</v>
          </cell>
          <cell r="D178" t="str">
            <v>-</v>
          </cell>
          <cell r="E178">
            <v>3.3394499999999998</v>
          </cell>
          <cell r="F178">
            <v>3.97102894612105</v>
          </cell>
          <cell r="G178">
            <v>4.3594499999999998</v>
          </cell>
          <cell r="H178">
            <v>4.3594499999999998</v>
          </cell>
          <cell r="I178">
            <v>4.3594499999999998</v>
          </cell>
          <cell r="J178">
            <v>4.3594499999999998</v>
          </cell>
        </row>
        <row r="179">
          <cell r="B179" t="str">
            <v>RHNS-SHSTG-CHPNGA</v>
          </cell>
          <cell r="C179" t="str">
            <v>VAR_fout</v>
          </cell>
          <cell r="D179" t="str">
            <v>RHNS_LTH_CHPNGA</v>
          </cell>
          <cell r="E179">
            <v>5.4876620634137531E-4</v>
          </cell>
          <cell r="F179">
            <v>1.6317605916651754E-4</v>
          </cell>
          <cell r="G179">
            <v>2.3150428141752006E-3</v>
          </cell>
          <cell r="H179">
            <v>1.8984256426478299E-3</v>
          </cell>
          <cell r="I179">
            <v>1.4439225191007137E-2</v>
          </cell>
          <cell r="J179">
            <v>1.542788249731057E-2</v>
          </cell>
        </row>
        <row r="180">
          <cell r="B180" t="str">
            <v>RHNS-SHSTG-CHPNGA</v>
          </cell>
          <cell r="C180" t="str">
            <v>VAR_fout</v>
          </cell>
          <cell r="D180" t="str">
            <v>AUX_RNS-CHPNGA_OUT</v>
          </cell>
          <cell r="E180">
            <v>5.4876620634137672E-4</v>
          </cell>
          <cell r="F180">
            <v>1.6306734760145028E-4</v>
          </cell>
          <cell r="G180">
            <v>2.3126338206120645E-3</v>
          </cell>
          <cell r="H180">
            <v>1.8984256426478299E-3</v>
          </cell>
          <cell r="I180">
            <v>1.4439225191007177E-2</v>
          </cell>
          <cell r="J180">
            <v>1.5427882497310587E-2</v>
          </cell>
        </row>
        <row r="181">
          <cell r="B181" t="str">
            <v>RHNS-SHSTG-CHPNGA</v>
          </cell>
          <cell r="C181" t="str">
            <v>VAR_fin</v>
          </cell>
          <cell r="D181" t="str">
            <v>RHNS_LTH_CHPNGA</v>
          </cell>
          <cell r="E181">
            <v>4.2926047033005614E-4</v>
          </cell>
          <cell r="F181">
            <v>2.0960561471779774E-4</v>
          </cell>
          <cell r="G181">
            <v>2.9804214817440826E-3</v>
          </cell>
          <cell r="H181">
            <v>2.3764020429255938E-3</v>
          </cell>
          <cell r="I181">
            <v>1.6990692380666212E-2</v>
          </cell>
          <cell r="J181">
            <v>1.7145460290214236E-2</v>
          </cell>
        </row>
        <row r="182">
          <cell r="B182" t="str">
            <v>RHNS-SHSTG-CHPNGA</v>
          </cell>
          <cell r="C182" t="str">
            <v>VAR_fin</v>
          </cell>
          <cell r="D182" t="str">
            <v>AUX_RNS-CHPNGA_IN</v>
          </cell>
          <cell r="E182">
            <v>4.2926047033005614E-4</v>
          </cell>
          <cell r="F182">
            <v>2.0960561471779774E-4</v>
          </cell>
          <cell r="G182">
            <v>2.9804214817440826E-3</v>
          </cell>
          <cell r="H182">
            <v>2.3764020429255938E-3</v>
          </cell>
          <cell r="I182">
            <v>1.6990692380666212E-2</v>
          </cell>
          <cell r="J182">
            <v>1.7145460290214236E-2</v>
          </cell>
        </row>
        <row r="183">
          <cell r="B183" t="str">
            <v>RHNS-SHSTG-CHPNGA</v>
          </cell>
          <cell r="C183" t="str">
            <v>VAR_ncap</v>
          </cell>
          <cell r="D183" t="str">
            <v>-</v>
          </cell>
          <cell r="E183">
            <v>1.6649141028112701E-3</v>
          </cell>
          <cell r="F183">
            <v>4.5557812192790898E-5</v>
          </cell>
          <cell r="G183">
            <v>3.4084657563527698E-5</v>
          </cell>
          <cell r="H183">
            <v>1.7031156727539099E-5</v>
          </cell>
          <cell r="I183">
            <v>1.35015754320202E-4</v>
          </cell>
          <cell r="J183">
            <v>2.8676467308673197E-4</v>
          </cell>
        </row>
        <row r="184">
          <cell r="B184" t="str">
            <v>RHNS-SHSTG-CHPNGA</v>
          </cell>
          <cell r="C184" t="str">
            <v>VAR_cap</v>
          </cell>
          <cell r="D184" t="str">
            <v>-</v>
          </cell>
          <cell r="E184">
            <v>1.6649141028112701E-3</v>
          </cell>
          <cell r="F184">
            <v>1.7074574711957492E-3</v>
          </cell>
          <cell r="G184">
            <v>1.7327447173093912E-3</v>
          </cell>
          <cell r="H184">
            <v>1.7185259244043177E-3</v>
          </cell>
          <cell r="I184">
            <v>1.6525257324184086E-3</v>
          </cell>
          <cell r="J184">
            <v>1.0158701315773468E-3</v>
          </cell>
        </row>
        <row r="185">
          <cell r="B185" t="str">
            <v>ITOT-CHPGFC</v>
          </cell>
          <cell r="C185" t="str">
            <v>VAR_fout</v>
          </cell>
          <cell r="D185" t="str">
            <v>ITOT_NKEV_GAS_ELC_CHP</v>
          </cell>
          <cell r="H185">
            <v>5.8256590326260442E-4</v>
          </cell>
          <cell r="I185">
            <v>2.9930060515069717E-3</v>
          </cell>
          <cell r="J185">
            <v>2.4630670451596727E-3</v>
          </cell>
        </row>
        <row r="186">
          <cell r="B186" t="str">
            <v>ITOT-CHPGFC</v>
          </cell>
          <cell r="C186" t="str">
            <v>VAR_fout</v>
          </cell>
          <cell r="D186" t="str">
            <v>ITOT_LTH_CHP</v>
          </cell>
          <cell r="H186">
            <v>2.9128295163130221E-4</v>
          </cell>
          <cell r="I186">
            <v>1.3454797846224004E-3</v>
          </cell>
          <cell r="J186">
            <v>9.9386915857320197E-4</v>
          </cell>
        </row>
        <row r="187">
          <cell r="B187" t="str">
            <v>ITOT-CHPGFC</v>
          </cell>
          <cell r="C187" t="str">
            <v>VAR_fout</v>
          </cell>
          <cell r="D187" t="str">
            <v>CO2_I</v>
          </cell>
          <cell r="H187">
            <v>6.3185994123097902E-2</v>
          </cell>
          <cell r="I187">
            <v>0.30973493817429998</v>
          </cell>
          <cell r="J187">
            <v>0.24371400236316701</v>
          </cell>
        </row>
        <row r="188">
          <cell r="B188" t="str">
            <v>ITOT-CHPGFC</v>
          </cell>
          <cell r="C188" t="str">
            <v>VAR_fin</v>
          </cell>
          <cell r="D188" t="str">
            <v>INGA</v>
          </cell>
          <cell r="H188">
            <v>1.1203190447357789E-3</v>
          </cell>
          <cell r="I188">
            <v>5.4917542229485725E-3</v>
          </cell>
          <cell r="J188">
            <v>4.3211702546660886E-3</v>
          </cell>
        </row>
        <row r="189">
          <cell r="B189" t="str">
            <v>ITOT-CHPGFC</v>
          </cell>
          <cell r="C189" t="str">
            <v>VAR_ncap</v>
          </cell>
          <cell r="D189" t="str">
            <v>-</v>
          </cell>
          <cell r="H189">
            <v>8.0856294682582995E-5</v>
          </cell>
          <cell r="I189">
            <v>4.6477279701766301E-5</v>
          </cell>
          <cell r="J189">
            <v>6.5209894252865597E-5</v>
          </cell>
        </row>
        <row r="190">
          <cell r="B190" t="str">
            <v>ITOT-CHPGFC</v>
          </cell>
          <cell r="C190" t="str">
            <v>VAR_cap</v>
          </cell>
          <cell r="D190" t="str">
            <v>-</v>
          </cell>
          <cell r="H190">
            <v>8.0856294682582995E-5</v>
          </cell>
          <cell r="I190">
            <v>1.8523936244575827E-4</v>
          </cell>
          <cell r="J190">
            <v>1.342397203466718E-4</v>
          </cell>
        </row>
        <row r="191">
          <cell r="B191" t="str">
            <v>ITOT-SWSTG-CHP</v>
          </cell>
          <cell r="C191" t="str">
            <v>VAR_fout</v>
          </cell>
          <cell r="D191" t="str">
            <v>ITOT_LTH_CHP</v>
          </cell>
          <cell r="E191">
            <v>4.0836211208978521E-4</v>
          </cell>
          <cell r="F191">
            <v>4.8696913731699493E-4</v>
          </cell>
          <cell r="G191">
            <v>3.8323190841377086E-2</v>
          </cell>
          <cell r="H191">
            <v>2.9153024962911478E-3</v>
          </cell>
          <cell r="I191">
            <v>0.15501490497102322</v>
          </cell>
          <cell r="J191">
            <v>0.43769768637853129</v>
          </cell>
        </row>
        <row r="192">
          <cell r="B192" t="str">
            <v>ITOT-SWSTG-CHP</v>
          </cell>
          <cell r="C192" t="str">
            <v>VAR_fout</v>
          </cell>
          <cell r="D192" t="str">
            <v>AUX_ITOT-CHP_OUT</v>
          </cell>
          <cell r="E192">
            <v>4.0836211208978462E-4</v>
          </cell>
          <cell r="F192">
            <v>4.8657142886938715E-4</v>
          </cell>
          <cell r="G192">
            <v>3.8274309220405957E-2</v>
          </cell>
          <cell r="H192">
            <v>2.9153024962911543E-3</v>
          </cell>
          <cell r="I192">
            <v>0.1550149049710233</v>
          </cell>
          <cell r="J192">
            <v>0.43769768637853129</v>
          </cell>
        </row>
        <row r="193">
          <cell r="B193" t="str">
            <v>ITOT-SWSTG-CHP</v>
          </cell>
          <cell r="C193" t="str">
            <v>VAR_fin</v>
          </cell>
          <cell r="D193" t="str">
            <v>ITOT_LTH_CHP</v>
          </cell>
          <cell r="E193">
            <v>4.502527310687349E-4</v>
          </cell>
          <cell r="F193">
            <v>5.9578850165087306E-4</v>
          </cell>
          <cell r="G193">
            <v>4.5643025878935144E-2</v>
          </cell>
          <cell r="H193">
            <v>3.3579752239918177E-3</v>
          </cell>
          <cell r="I193">
            <v>0.16668938398382427</v>
          </cell>
          <cell r="J193">
            <v>0.4421256123829419</v>
          </cell>
        </row>
        <row r="194">
          <cell r="B194" t="str">
            <v>ITOT-SWSTG-CHP</v>
          </cell>
          <cell r="C194" t="str">
            <v>VAR_fin</v>
          </cell>
          <cell r="D194" t="str">
            <v>AUX_ITOT-CHP_IN</v>
          </cell>
          <cell r="E194">
            <v>4.502527310687349E-4</v>
          </cell>
          <cell r="F194">
            <v>5.9578850165087306E-4</v>
          </cell>
          <cell r="G194">
            <v>4.5643025878935144E-2</v>
          </cell>
          <cell r="H194">
            <v>3.3579752239918177E-3</v>
          </cell>
          <cell r="I194">
            <v>0.16668938398382427</v>
          </cell>
          <cell r="J194">
            <v>0.4421256123829419</v>
          </cell>
        </row>
        <row r="195">
          <cell r="B195" t="str">
            <v>ITOT-SWSTG-CHP</v>
          </cell>
          <cell r="C195" t="str">
            <v>VAR_ncap</v>
          </cell>
          <cell r="D195" t="str">
            <v>-</v>
          </cell>
          <cell r="E195">
            <v>2.3750455547655999E-3</v>
          </cell>
          <cell r="F195">
            <v>2.9199865489367101E-5</v>
          </cell>
          <cell r="G195">
            <v>1.0227201565418099E-4</v>
          </cell>
          <cell r="H195">
            <v>1.4208551407074E-5</v>
          </cell>
          <cell r="I195">
            <v>3.5830367956530003E-2</v>
          </cell>
          <cell r="J195">
            <v>6.4610568644273406E-2</v>
          </cell>
        </row>
        <row r="196">
          <cell r="B196" t="str">
            <v>ITOT-SWSTG-CHP</v>
          </cell>
          <cell r="C196" t="str">
            <v>VAR_cap</v>
          </cell>
          <cell r="D196" t="str">
            <v>-</v>
          </cell>
          <cell r="E196">
            <v>2.384532559018888E-3</v>
          </cell>
          <cell r="F196">
            <v>2.4070882886354419E-3</v>
          </cell>
          <cell r="G196">
            <v>2.4992248593216156E-3</v>
          </cell>
          <cell r="H196">
            <v>2.4654113391821913E-3</v>
          </cell>
          <cell r="I196">
            <v>3.8738033443337413E-2</v>
          </cell>
          <cell r="J196">
            <v>9.1828812892108022E-2</v>
          </cell>
        </row>
        <row r="197">
          <cell r="B197" t="str">
            <v>D-ELFO</v>
          </cell>
          <cell r="C197" t="str">
            <v>VAR_fout</v>
          </cell>
          <cell r="D197" t="str">
            <v>CO2</v>
          </cell>
          <cell r="E197">
            <v>26.784235739814001</v>
          </cell>
          <cell r="F197">
            <v>16.433265289711201</v>
          </cell>
          <cell r="G197">
            <v>1.59535341999321</v>
          </cell>
          <cell r="H197">
            <v>0.38091723539771999</v>
          </cell>
          <cell r="I197">
            <v>0.76819543590859596</v>
          </cell>
          <cell r="J197">
            <v>0.70269916891426998</v>
          </cell>
        </row>
        <row r="198">
          <cell r="B198" t="str">
            <v>D-ELFO</v>
          </cell>
          <cell r="C198" t="str">
            <v>VAR_fout</v>
          </cell>
          <cell r="D198" t="str">
            <v>ELFO</v>
          </cell>
          <cell r="E198">
            <v>0.35735288722840775</v>
          </cell>
          <cell r="F198">
            <v>0.21925116157559105</v>
          </cell>
          <cell r="G198">
            <v>2.1285063211150229E-2</v>
          </cell>
          <cell r="H198">
            <v>5.0821638215383987E-3</v>
          </cell>
          <cell r="I198">
            <v>1.0249195072964533E-2</v>
          </cell>
          <cell r="J198">
            <v>9.3753497133109206E-3</v>
          </cell>
        </row>
        <row r="199">
          <cell r="B199" t="str">
            <v>D-ELFO</v>
          </cell>
          <cell r="C199" t="str">
            <v>VAR_fin</v>
          </cell>
          <cell r="D199" t="str">
            <v>LFO</v>
          </cell>
          <cell r="E199">
            <v>0.36342246594048838</v>
          </cell>
          <cell r="F199">
            <v>0.22297510569486043</v>
          </cell>
          <cell r="G199">
            <v>2.1646586431386904E-2</v>
          </cell>
          <cell r="H199">
            <v>5.1684835196434244E-3</v>
          </cell>
          <cell r="I199">
            <v>1.0423275928203486E-2</v>
          </cell>
          <cell r="J199">
            <v>9.5345884520253773E-3</v>
          </cell>
        </row>
        <row r="200">
          <cell r="B200" t="str">
            <v>EHYD-DAM00</v>
          </cell>
          <cell r="C200" t="str">
            <v>VAR_fout</v>
          </cell>
          <cell r="D200" t="str">
            <v>ELC</v>
          </cell>
          <cell r="E200">
            <v>66.745680000010836</v>
          </cell>
          <cell r="F200">
            <v>49.783940789885229</v>
          </cell>
          <cell r="G200">
            <v>68.485620485068878</v>
          </cell>
          <cell r="H200">
            <v>69.629714099083202</v>
          </cell>
          <cell r="I200">
            <v>71.390825965621872</v>
          </cell>
          <cell r="J200">
            <v>71.25093913001362</v>
          </cell>
        </row>
        <row r="201">
          <cell r="B201" t="str">
            <v>EHYD-DAM00</v>
          </cell>
          <cell r="C201" t="str">
            <v>VAR_fin</v>
          </cell>
          <cell r="D201" t="str">
            <v>HYDD</v>
          </cell>
          <cell r="E201">
            <v>66.745680000010836</v>
          </cell>
          <cell r="F201">
            <v>49.783940789885229</v>
          </cell>
          <cell r="G201">
            <v>68.485620485068878</v>
          </cell>
          <cell r="H201">
            <v>69.629714099083202</v>
          </cell>
          <cell r="I201">
            <v>71.390825965621872</v>
          </cell>
          <cell r="J201">
            <v>71.25093913001362</v>
          </cell>
        </row>
        <row r="202">
          <cell r="B202" t="str">
            <v>EHYD-DAM00</v>
          </cell>
          <cell r="C202" t="str">
            <v>VAR_cap</v>
          </cell>
          <cell r="D202" t="str">
            <v>-</v>
          </cell>
          <cell r="E202">
            <v>7.3394300010600002</v>
          </cell>
          <cell r="F202">
            <v>7.3394300010600002</v>
          </cell>
          <cell r="G202">
            <v>7.3394300010600002</v>
          </cell>
          <cell r="H202">
            <v>7.3394300010600002</v>
          </cell>
          <cell r="I202">
            <v>7.3394300010600002</v>
          </cell>
          <cell r="J202">
            <v>7.3394300010600002</v>
          </cell>
        </row>
        <row r="203">
          <cell r="B203" t="str">
            <v>RHES-SHSTG-CHPWOD</v>
          </cell>
          <cell r="C203" t="str">
            <v>VAR_fout</v>
          </cell>
          <cell r="D203" t="str">
            <v>AUX_RES-CHPWOD_OUT</v>
          </cell>
          <cell r="E203">
            <v>5.2189493934713845E-4</v>
          </cell>
          <cell r="F203">
            <v>2.6851260751678785E-4</v>
          </cell>
          <cell r="G203">
            <v>2.2913043222119744E-4</v>
          </cell>
          <cell r="H203">
            <v>9.99731041982552E-4</v>
          </cell>
          <cell r="I203">
            <v>3.158197828145816E-3</v>
          </cell>
          <cell r="J203">
            <v>3.0229502462093558E-3</v>
          </cell>
        </row>
        <row r="204">
          <cell r="B204" t="str">
            <v>RHES-SHSTG-CHPWOD</v>
          </cell>
          <cell r="C204" t="str">
            <v>VAR_fout</v>
          </cell>
          <cell r="D204" t="str">
            <v>RHES_LTH_CHPWOD</v>
          </cell>
          <cell r="E204">
            <v>5.2189493934713693E-4</v>
          </cell>
          <cell r="F204">
            <v>2.6869161592179869E-4</v>
          </cell>
          <cell r="G204">
            <v>2.2936910975476091E-4</v>
          </cell>
          <cell r="H204">
            <v>9.99731041982552E-4</v>
          </cell>
          <cell r="I204">
            <v>3.1581978281458051E-3</v>
          </cell>
          <cell r="J204">
            <v>3.0229502462093523E-3</v>
          </cell>
        </row>
        <row r="205">
          <cell r="B205" t="str">
            <v>RHES-SHSTG-CHPWOD</v>
          </cell>
          <cell r="C205" t="str">
            <v>VAR_fin</v>
          </cell>
          <cell r="D205" t="str">
            <v>AUX_RES-CHPWOD_IN</v>
          </cell>
          <cell r="E205">
            <v>4.084037878424986E-4</v>
          </cell>
          <cell r="F205">
            <v>1.6596075151176771E-4</v>
          </cell>
          <cell r="G205">
            <v>1.8222577900627089E-4</v>
          </cell>
          <cell r="H205">
            <v>1.2530334166006591E-3</v>
          </cell>
          <cell r="I205">
            <v>3.7188954831824544E-3</v>
          </cell>
          <cell r="J205">
            <v>3.3622022334393671E-3</v>
          </cell>
        </row>
        <row r="206">
          <cell r="B206" t="str">
            <v>RHES-SHSTG-CHPWOD</v>
          </cell>
          <cell r="C206" t="str">
            <v>VAR_fin</v>
          </cell>
          <cell r="D206" t="str">
            <v>RHES_LTH_CHPWOD</v>
          </cell>
          <cell r="E206">
            <v>4.084037878424986E-4</v>
          </cell>
          <cell r="F206">
            <v>1.6596075151176771E-4</v>
          </cell>
          <cell r="G206">
            <v>1.8222577900627089E-4</v>
          </cell>
          <cell r="H206">
            <v>1.2530334166006591E-3</v>
          </cell>
          <cell r="I206">
            <v>3.7188954831824544E-3</v>
          </cell>
          <cell r="J206">
            <v>3.3622022334393671E-3</v>
          </cell>
        </row>
        <row r="207">
          <cell r="B207" t="str">
            <v>RHES-SHSTG-CHPWOD</v>
          </cell>
          <cell r="C207" t="str">
            <v>VAR_ncap</v>
          </cell>
          <cell r="D207" t="str">
            <v>-</v>
          </cell>
          <cell r="E207">
            <v>1.2100878640531601E-3</v>
          </cell>
          <cell r="F207">
            <v>2.6864655769313901E-5</v>
          </cell>
          <cell r="G207">
            <v>4.0389554258935097E-5</v>
          </cell>
          <cell r="H207">
            <v>3.3802354915191901E-5</v>
          </cell>
          <cell r="I207">
            <v>9.5446198770843407E-5</v>
          </cell>
          <cell r="J207">
            <v>2.1985203823284699E-4</v>
          </cell>
        </row>
        <row r="208">
          <cell r="B208" t="str">
            <v>RHES-SHSTG-CHPWOD</v>
          </cell>
          <cell r="C208" t="str">
            <v>VAR_cap</v>
          </cell>
          <cell r="D208" t="str">
            <v>-</v>
          </cell>
          <cell r="E208">
            <v>1.2100878640531601E-3</v>
          </cell>
          <cell r="F208">
            <v>1.2334766714224678E-3</v>
          </cell>
          <cell r="G208">
            <v>1.263731293281115E-3</v>
          </cell>
          <cell r="H208">
            <v>1.2834340260142517E-3</v>
          </cell>
          <cell r="I208">
            <v>1.6678183572582186E-3</v>
          </cell>
          <cell r="J208">
            <v>9.3949264655286972E-4</v>
          </cell>
        </row>
        <row r="209">
          <cell r="B209" t="str">
            <v>G-INTC-IND</v>
          </cell>
          <cell r="C209" t="str">
            <v>VAR_fout</v>
          </cell>
          <cell r="D209" t="str">
            <v>ELC35</v>
          </cell>
          <cell r="E209">
            <v>4.0923894837234017E-3</v>
          </cell>
          <cell r="F209">
            <v>1.588096857483716E-3</v>
          </cell>
          <cell r="G209">
            <v>1.7235495648899274E-3</v>
          </cell>
          <cell r="H209">
            <v>7.23874516921691E-4</v>
          </cell>
          <cell r="I209">
            <v>1.0828844310823446E-3</v>
          </cell>
          <cell r="J209">
            <v>7.4531528904510629E-4</v>
          </cell>
        </row>
        <row r="210">
          <cell r="B210" t="str">
            <v>G-INTC-IND</v>
          </cell>
          <cell r="C210" t="str">
            <v>VAR_fout</v>
          </cell>
          <cell r="D210" t="str">
            <v>ITOT_ELC</v>
          </cell>
          <cell r="E210">
            <v>55.821965240535476</v>
          </cell>
          <cell r="F210">
            <v>57.47098883514213</v>
          </cell>
          <cell r="G210">
            <v>53.336731988338357</v>
          </cell>
          <cell r="H210">
            <v>53.662806372923747</v>
          </cell>
          <cell r="I210">
            <v>39.423141703125893</v>
          </cell>
          <cell r="J210">
            <v>36.281474838101083</v>
          </cell>
        </row>
        <row r="211">
          <cell r="B211" t="str">
            <v>G-INTC-IND</v>
          </cell>
          <cell r="C211" t="str">
            <v>VAR_fout</v>
          </cell>
          <cell r="D211" t="str">
            <v>ELC13</v>
          </cell>
          <cell r="E211">
            <v>3.8364956111006077E-3</v>
          </cell>
          <cell r="F211">
            <v>1.0988572803868671E-3</v>
          </cell>
          <cell r="G211">
            <v>1.4064946651105162E-3</v>
          </cell>
          <cell r="H211">
            <v>5.6762014331248722E-4</v>
          </cell>
          <cell r="I211">
            <v>8.1016606448466345E-4</v>
          </cell>
          <cell r="J211">
            <v>5.7479708028999757E-4</v>
          </cell>
        </row>
        <row r="212">
          <cell r="B212" t="str">
            <v>G-INTC-IND</v>
          </cell>
          <cell r="C212" t="str">
            <v>VAR_fin</v>
          </cell>
          <cell r="D212" t="str">
            <v>ELC3</v>
          </cell>
          <cell r="E212">
            <v>25.754637125605058</v>
          </cell>
          <cell r="F212">
            <v>57.470200311050291</v>
          </cell>
          <cell r="G212">
            <v>53.332042461256947</v>
          </cell>
          <cell r="H212">
            <v>24.586616600868666</v>
          </cell>
          <cell r="I212">
            <v>17.906737265808303</v>
          </cell>
          <cell r="J212">
            <v>16.373456295873815</v>
          </cell>
        </row>
        <row r="213">
          <cell r="B213" t="str">
            <v>G-INTC-IND</v>
          </cell>
          <cell r="C213" t="str">
            <v>VAR_fin</v>
          </cell>
          <cell r="D213" t="str">
            <v>ELC5</v>
          </cell>
          <cell r="E213">
            <v>30.075157155482483</v>
          </cell>
          <cell r="F213">
            <v>3.4326468659982238E-3</v>
          </cell>
          <cell r="G213">
            <v>7.7621584497310683E-3</v>
          </cell>
          <cell r="H213">
            <v>29.077455851450175</v>
          </cell>
          <cell r="I213">
            <v>21.518297487813175</v>
          </cell>
          <cell r="J213">
            <v>19.909308695451237</v>
          </cell>
        </row>
        <row r="214">
          <cell r="B214" t="str">
            <v>G-INTC-IND</v>
          </cell>
          <cell r="C214" t="str">
            <v>VAR_ncap</v>
          </cell>
          <cell r="D214" t="str">
            <v>-</v>
          </cell>
          <cell r="E214">
            <v>4.1481957734707599E-7</v>
          </cell>
          <cell r="F214">
            <v>3.6040419661571502E-7</v>
          </cell>
          <cell r="G214">
            <v>2.78352613605352E-7</v>
          </cell>
          <cell r="H214">
            <v>3.30045507207181E-7</v>
          </cell>
          <cell r="I214">
            <v>6.2014875396012395E-7</v>
          </cell>
          <cell r="J214">
            <v>1.10594471957318E-6</v>
          </cell>
        </row>
        <row r="215">
          <cell r="B215" t="str">
            <v>G-INTC-IND</v>
          </cell>
          <cell r="C215" t="str">
            <v>VAR_cap</v>
          </cell>
          <cell r="D215" t="str">
            <v>-</v>
          </cell>
          <cell r="E215">
            <v>4.4927373631622096</v>
          </cell>
          <cell r="F215">
            <v>4.4927374980354706</v>
          </cell>
          <cell r="G215">
            <v>4.4927381383859837</v>
          </cell>
          <cell r="H215">
            <v>4.4927385983261177</v>
          </cell>
          <cell r="I215">
            <v>4.4927395642169499</v>
          </cell>
          <cell r="J215">
            <v>4.4927407041301688</v>
          </cell>
        </row>
        <row r="216">
          <cell r="B216" t="str">
            <v>D-IH2R</v>
          </cell>
          <cell r="C216" t="str">
            <v>VAR_fout</v>
          </cell>
          <cell r="D216" t="str">
            <v>IH2</v>
          </cell>
          <cell r="H216">
            <v>2.5493476975866946E-3</v>
          </cell>
          <cell r="I216">
            <v>3.3966775500942729E-2</v>
          </cell>
          <cell r="J216">
            <v>5.9412432447949096E-2</v>
          </cell>
        </row>
        <row r="217">
          <cell r="B217" t="str">
            <v>D-IH2R</v>
          </cell>
          <cell r="C217" t="str">
            <v>VAR_fin</v>
          </cell>
          <cell r="D217" t="str">
            <v>H2</v>
          </cell>
          <cell r="H217">
            <v>2.5493476975866946E-3</v>
          </cell>
          <cell r="I217">
            <v>3.3966775500942729E-2</v>
          </cell>
          <cell r="J217">
            <v>5.9412432447949096E-2</v>
          </cell>
        </row>
        <row r="218">
          <cell r="B218" t="str">
            <v>D-IH2R</v>
          </cell>
          <cell r="C218" t="str">
            <v>VAR_ncap</v>
          </cell>
          <cell r="D218" t="str">
            <v>-</v>
          </cell>
          <cell r="H218">
            <v>2.0669644594828801E-4</v>
          </cell>
          <cell r="I218">
            <v>4.3259266441192101E-3</v>
          </cell>
          <cell r="J218">
            <v>1.46894717609291E-3</v>
          </cell>
        </row>
        <row r="219">
          <cell r="B219" t="str">
            <v>D-IH2R</v>
          </cell>
          <cell r="C219" t="str">
            <v>VAR_cap</v>
          </cell>
          <cell r="D219" t="str">
            <v>-</v>
          </cell>
          <cell r="H219">
            <v>2.0669644594828801E-4</v>
          </cell>
          <cell r="I219">
            <v>4.4252257828536002E-3</v>
          </cell>
          <cell r="J219">
            <v>2.9506689635611901E-3</v>
          </cell>
        </row>
        <row r="220">
          <cell r="B220" t="str">
            <v>ESOL-PV_E</v>
          </cell>
          <cell r="C220" t="str">
            <v>VAR_fout</v>
          </cell>
          <cell r="D220" t="str">
            <v>CELC_E</v>
          </cell>
          <cell r="E220"/>
          <cell r="F220"/>
          <cell r="G220"/>
          <cell r="H220">
            <v>2.1463912305392585E-6</v>
          </cell>
          <cell r="I220">
            <v>1.5120792173265003E-3</v>
          </cell>
          <cell r="J220">
            <v>1.8039726777259865E-3</v>
          </cell>
        </row>
        <row r="221">
          <cell r="B221" t="str">
            <v>ESOL-PV_E</v>
          </cell>
          <cell r="C221" t="str">
            <v>VAR_fin</v>
          </cell>
          <cell r="D221" t="str">
            <v>SOL</v>
          </cell>
          <cell r="E221"/>
          <cell r="F221"/>
          <cell r="G221"/>
          <cell r="H221">
            <v>2.1463912305392585E-6</v>
          </cell>
          <cell r="I221">
            <v>1.5120792173265003E-3</v>
          </cell>
          <cell r="J221">
            <v>1.8039726777259865E-3</v>
          </cell>
        </row>
        <row r="222">
          <cell r="B222" t="str">
            <v>ESOL-PV_E</v>
          </cell>
          <cell r="C222" t="str">
            <v>VAR_fin</v>
          </cell>
          <cell r="D222" t="str">
            <v>SOLPVC</v>
          </cell>
          <cell r="E222"/>
          <cell r="F222"/>
          <cell r="G222"/>
          <cell r="H222">
            <v>2.1463912305392602E-6</v>
          </cell>
          <cell r="I222">
            <v>1.5120792173265001E-3</v>
          </cell>
          <cell r="J222">
            <v>1.80397267772599E-3</v>
          </cell>
        </row>
        <row r="223">
          <cell r="B223" t="str">
            <v>ESOL-PV_E</v>
          </cell>
          <cell r="C223" t="str">
            <v>VAR_ncap</v>
          </cell>
          <cell r="D223" t="str">
            <v>-</v>
          </cell>
          <cell r="E223"/>
          <cell r="F223"/>
          <cell r="G223"/>
          <cell r="H223">
            <v>7.2242153342626502E-7</v>
          </cell>
          <cell r="I223">
            <v>4.00620679921018E-4</v>
          </cell>
          <cell r="J223">
            <v>8.4917766043484993E-5</v>
          </cell>
        </row>
        <row r="224">
          <cell r="B224" t="str">
            <v>ESOL-PV_E</v>
          </cell>
          <cell r="C224" t="str">
            <v>VAR_cap</v>
          </cell>
          <cell r="D224" t="str">
            <v>-</v>
          </cell>
          <cell r="E224"/>
          <cell r="F224"/>
          <cell r="G224"/>
          <cell r="H224">
            <v>7.2242153342626502E-7</v>
          </cell>
          <cell r="I224">
            <v>4.3789720672487103E-4</v>
          </cell>
          <cell r="J224">
            <v>5.2281497276835602E-4</v>
          </cell>
        </row>
        <row r="225">
          <cell r="B225" t="str">
            <v>EWSTINC</v>
          </cell>
          <cell r="C225" t="str">
            <v>VAR_fout</v>
          </cell>
          <cell r="D225" t="str">
            <v>ELC35</v>
          </cell>
          <cell r="E225">
            <v>6.5070005492417158</v>
          </cell>
          <cell r="F225">
            <v>7.3027686955955255</v>
          </cell>
          <cell r="G225">
            <v>7.4118958696041393</v>
          </cell>
          <cell r="H225">
            <v>7.3981407610366832</v>
          </cell>
          <cell r="I225">
            <v>7.6680275402036582</v>
          </cell>
          <cell r="J225">
            <v>8.0332779104895167</v>
          </cell>
        </row>
        <row r="226">
          <cell r="B226" t="str">
            <v>EWSTINC</v>
          </cell>
          <cell r="C226" t="str">
            <v>VAR_fout</v>
          </cell>
          <cell r="D226" t="str">
            <v>CO2_E</v>
          </cell>
          <cell r="E226">
            <v>1689.2933390093799</v>
          </cell>
          <cell r="F226">
            <v>1895.8840437217</v>
          </cell>
          <cell r="G226">
            <v>1924.2147326101699</v>
          </cell>
          <cell r="H226">
            <v>1920.6437457776799</v>
          </cell>
          <cell r="I226">
            <v>1990.7095057055201</v>
          </cell>
          <cell r="J226">
            <v>2085.5327676563002</v>
          </cell>
        </row>
        <row r="227">
          <cell r="B227" t="str">
            <v>EWSTINC</v>
          </cell>
          <cell r="C227" t="str">
            <v>VAR_fin</v>
          </cell>
          <cell r="D227" t="str">
            <v>EWST</v>
          </cell>
          <cell r="E227">
            <v>18.203592015187258</v>
          </cell>
          <cell r="F227">
            <v>20.429784953897649</v>
          </cell>
          <cell r="G227">
            <v>20.735072549678556</v>
          </cell>
          <cell r="H227">
            <v>20.696592088121555</v>
          </cell>
          <cell r="I227">
            <v>21.451611052861157</v>
          </cell>
          <cell r="J227">
            <v>22.473413444572166</v>
          </cell>
        </row>
        <row r="228">
          <cell r="B228" t="str">
            <v>EWSTINC</v>
          </cell>
          <cell r="C228" t="str">
            <v>VAR_ncap</v>
          </cell>
          <cell r="D228" t="str">
            <v>-</v>
          </cell>
          <cell r="E228"/>
          <cell r="F228">
            <v>1.4140920755560999E-7</v>
          </cell>
          <cell r="G228">
            <v>2.91104309865476E-7</v>
          </cell>
          <cell r="H228">
            <v>6.7313977252415905E-2</v>
          </cell>
          <cell r="I228">
            <v>5.6717341951100099E-2</v>
          </cell>
          <cell r="J228">
            <v>9.1758165270877004E-2</v>
          </cell>
        </row>
        <row r="229">
          <cell r="B229" t="str">
            <v>EWSTINC</v>
          </cell>
          <cell r="C229" t="str">
            <v>VAR_cap</v>
          </cell>
          <cell r="D229" t="str">
            <v>-</v>
          </cell>
          <cell r="E229">
            <v>0.27650789664584419</v>
          </cell>
          <cell r="F229">
            <v>0.27650647409236795</v>
          </cell>
          <cell r="G229">
            <v>0.27650560706433724</v>
          </cell>
          <cell r="H229">
            <v>0.27599244331354722</v>
          </cell>
          <cell r="I229">
            <v>0.30340253021844399</v>
          </cell>
          <cell r="J229">
            <v>0.3176420794003757</v>
          </cell>
        </row>
        <row r="230">
          <cell r="B230" t="str">
            <v>D-IBIO</v>
          </cell>
          <cell r="C230" t="str">
            <v>VAR_fout</v>
          </cell>
          <cell r="D230" t="str">
            <v>IBIO</v>
          </cell>
          <cell r="E230">
            <v>0.43676157628678225</v>
          </cell>
          <cell r="F230">
            <v>0.55207409248493622</v>
          </cell>
          <cell r="G230">
            <v>2.7098498926148737</v>
          </cell>
          <cell r="H230">
            <v>5.5619447395981858</v>
          </cell>
          <cell r="I230">
            <v>6.4187004309308904</v>
          </cell>
          <cell r="J230">
            <v>11.140836746794079</v>
          </cell>
        </row>
        <row r="231">
          <cell r="B231" t="str">
            <v>D-IBIO</v>
          </cell>
          <cell r="C231" t="str">
            <v>VAR_fin</v>
          </cell>
          <cell r="D231" t="str">
            <v>BIO</v>
          </cell>
          <cell r="E231">
            <v>0.43676157628678225</v>
          </cell>
          <cell r="F231">
            <v>0.55207409248493622</v>
          </cell>
          <cell r="G231">
            <v>2.7098498926148737</v>
          </cell>
          <cell r="H231">
            <v>5.5619447395981858</v>
          </cell>
          <cell r="I231">
            <v>6.4187004309308904</v>
          </cell>
          <cell r="J231">
            <v>11.140836746794079</v>
          </cell>
        </row>
        <row r="232">
          <cell r="B232" t="str">
            <v>D-EWOD</v>
          </cell>
          <cell r="C232" t="str">
            <v>VAR_fout</v>
          </cell>
          <cell r="D232" t="str">
            <v>EWOD</v>
          </cell>
          <cell r="E232">
            <v>3.3765424344255539</v>
          </cell>
          <cell r="F232">
            <v>1.7787762188542608</v>
          </cell>
          <cell r="G232">
            <v>1.2583552268753728</v>
          </cell>
          <cell r="H232">
            <v>4.6580647743255579</v>
          </cell>
          <cell r="I232">
            <v>5.7051907345779211</v>
          </cell>
          <cell r="J232">
            <v>6.8036272798636883</v>
          </cell>
        </row>
        <row r="233">
          <cell r="B233" t="str">
            <v>D-EWOD</v>
          </cell>
          <cell r="C233" t="str">
            <v>VAR_fin</v>
          </cell>
          <cell r="D233" t="str">
            <v>WOD</v>
          </cell>
          <cell r="E233">
            <v>3.3765424344255539</v>
          </cell>
          <cell r="F233">
            <v>1.7787762188542608</v>
          </cell>
          <cell r="G233">
            <v>1.2583552268753728</v>
          </cell>
          <cell r="H233">
            <v>4.6580647743255579</v>
          </cell>
          <cell r="I233">
            <v>5.7051907345779211</v>
          </cell>
          <cell r="J233">
            <v>6.8036272798636883</v>
          </cell>
        </row>
        <row r="234">
          <cell r="B234" t="str">
            <v>HPLWOD</v>
          </cell>
          <cell r="C234" t="str">
            <v>VAR_fout</v>
          </cell>
          <cell r="D234" t="str">
            <v>LTH</v>
          </cell>
          <cell r="E234">
            <v>1.1346704759087218</v>
          </cell>
          <cell r="F234">
            <v>1.024035848731865</v>
          </cell>
          <cell r="G234">
            <v>0.87798315281001638</v>
          </cell>
          <cell r="H234">
            <v>0.6793627036482055</v>
          </cell>
          <cell r="I234">
            <v>0.40678378396637915</v>
          </cell>
          <cell r="J234">
            <v>0.24356281019226314</v>
          </cell>
        </row>
        <row r="235">
          <cell r="B235" t="str">
            <v>HPLWOD</v>
          </cell>
          <cell r="C235" t="str">
            <v>VAR_fin</v>
          </cell>
          <cell r="D235" t="str">
            <v>EWOD</v>
          </cell>
          <cell r="E235">
            <v>1.6209578227267463</v>
          </cell>
          <cell r="F235">
            <v>1.4629083553312343</v>
          </cell>
          <cell r="G235">
            <v>1.2542616468714516</v>
          </cell>
          <cell r="H235">
            <v>0.9705181480688656</v>
          </cell>
          <cell r="I235">
            <v>0.58111969138054176</v>
          </cell>
          <cell r="J235">
            <v>0.34794687170323346</v>
          </cell>
        </row>
        <row r="236">
          <cell r="B236" t="str">
            <v>HPLWOD</v>
          </cell>
          <cell r="C236" t="str">
            <v>VAR_ncap</v>
          </cell>
          <cell r="D236" t="str">
            <v>-</v>
          </cell>
          <cell r="E236">
            <v>0.14392152897341601</v>
          </cell>
          <cell r="F236">
            <v>7.9099610602274801E-7</v>
          </cell>
          <cell r="G236">
            <v>8.4027257420782299E-7</v>
          </cell>
          <cell r="H236">
            <v>9.01795608025324E-7</v>
          </cell>
          <cell r="I236">
            <v>1.2337924401833E-3</v>
          </cell>
          <cell r="J236">
            <v>3.0429690388494499E-2</v>
          </cell>
        </row>
        <row r="237">
          <cell r="B237" t="str">
            <v>HPLWOD</v>
          </cell>
          <cell r="C237" t="str">
            <v>VAR_cap</v>
          </cell>
          <cell r="D237" t="str">
            <v>-</v>
          </cell>
          <cell r="E237">
            <v>0.14392152897341601</v>
          </cell>
          <cell r="F237">
            <v>0.14392231996952201</v>
          </cell>
          <cell r="G237">
            <v>0.143923160242097</v>
          </cell>
          <cell r="H237">
            <v>0.143924062037705</v>
          </cell>
          <cell r="I237">
            <v>5.1603430616192901E-2</v>
          </cell>
          <cell r="J237">
            <v>3.1668432910608897E-2</v>
          </cell>
        </row>
        <row r="238">
          <cell r="B238" t="str">
            <v>ENGA-GTCC</v>
          </cell>
          <cell r="C238" t="str">
            <v>VAR_fout</v>
          </cell>
          <cell r="D238" t="str">
            <v>ELC13</v>
          </cell>
          <cell r="E238"/>
          <cell r="F238"/>
          <cell r="G238"/>
          <cell r="H238"/>
          <cell r="I238">
            <v>4.6295950749269038E-2</v>
          </cell>
          <cell r="J238">
            <v>5.8785784535271244</v>
          </cell>
        </row>
        <row r="239">
          <cell r="B239" t="str">
            <v>ENGA-GTCC</v>
          </cell>
          <cell r="C239" t="str">
            <v>VAR_fout</v>
          </cell>
          <cell r="D239" t="str">
            <v>CO2_E</v>
          </cell>
          <cell r="E239"/>
          <cell r="F239"/>
          <cell r="G239"/>
          <cell r="H239"/>
          <cell r="I239">
            <v>4.2450901462321502</v>
          </cell>
          <cell r="J239">
            <v>528.146050520279</v>
          </cell>
        </row>
        <row r="240">
          <cell r="B240" t="str">
            <v>ENGA-GTCC</v>
          </cell>
          <cell r="C240" t="str">
            <v>VAR_fin</v>
          </cell>
          <cell r="D240" t="str">
            <v>ENGA</v>
          </cell>
          <cell r="E240"/>
          <cell r="F240"/>
          <cell r="G240"/>
          <cell r="H240"/>
          <cell r="I240">
            <v>7.526755578425802E-2</v>
          </cell>
          <cell r="J240">
            <v>9.3642916758914669</v>
          </cell>
        </row>
        <row r="241">
          <cell r="B241" t="str">
            <v>ENGA-GTCC</v>
          </cell>
          <cell r="C241" t="str">
            <v>VAR_fin</v>
          </cell>
          <cell r="D241" t="str">
            <v>GTC</v>
          </cell>
          <cell r="E241"/>
          <cell r="F241"/>
          <cell r="G241"/>
          <cell r="H241"/>
          <cell r="I241">
            <v>4.6153867080361002E-3</v>
          </cell>
          <cell r="J241">
            <v>0.24635408814180026</v>
          </cell>
        </row>
        <row r="242">
          <cell r="B242" t="str">
            <v>ENGA-GTCC</v>
          </cell>
          <cell r="C242" t="str">
            <v>VAR_ncap</v>
          </cell>
          <cell r="D242" t="str">
            <v>-</v>
          </cell>
          <cell r="E242"/>
          <cell r="F242"/>
          <cell r="G242"/>
          <cell r="H242"/>
          <cell r="I242">
            <v>9.5856534006312794E-3</v>
          </cell>
          <cell r="J242">
            <v>0.31997334494117102</v>
          </cell>
        </row>
        <row r="243">
          <cell r="B243" t="str">
            <v>ENGA-GTCC</v>
          </cell>
          <cell r="C243" t="str">
            <v>VAR_cap</v>
          </cell>
          <cell r="D243" t="str">
            <v>-</v>
          </cell>
          <cell r="E243"/>
          <cell r="F243"/>
          <cell r="G243"/>
          <cell r="H243"/>
          <cell r="I243">
            <v>4.6153867080361002E-3</v>
          </cell>
          <cell r="J243">
            <v>0.24635408814179999</v>
          </cell>
        </row>
        <row r="244">
          <cell r="B244" t="str">
            <v>D-SNGA</v>
          </cell>
          <cell r="C244" t="str">
            <v>VAR_fout</v>
          </cell>
          <cell r="D244" t="str">
            <v>CO2</v>
          </cell>
          <cell r="E244">
            <v>1522.32001151143</v>
          </cell>
          <cell r="F244">
            <v>1515.8026687721399</v>
          </cell>
          <cell r="G244">
            <v>1368.861459512</v>
          </cell>
          <cell r="H244">
            <v>1294.91075871055</v>
          </cell>
          <cell r="I244">
            <v>982.98764734646795</v>
          </cell>
          <cell r="J244">
            <v>1258.8191082783701</v>
          </cell>
        </row>
        <row r="245">
          <cell r="B245" t="str">
            <v>D-SNGA</v>
          </cell>
          <cell r="C245" t="str">
            <v>VAR_fout</v>
          </cell>
          <cell r="D245" t="str">
            <v>SNGA</v>
          </cell>
          <cell r="E245">
            <v>27.212679402002998</v>
          </cell>
          <cell r="F245">
            <v>28.488390608448135</v>
          </cell>
          <cell r="G245">
            <v>25.162888549002115</v>
          </cell>
          <cell r="H245">
            <v>22.886975980813222</v>
          </cell>
          <cell r="I245">
            <v>17.373497581502981</v>
          </cell>
          <cell r="J245">
            <v>22.248499777779564</v>
          </cell>
        </row>
        <row r="246">
          <cell r="B246" t="str">
            <v>D-SNGA</v>
          </cell>
          <cell r="C246" t="str">
            <v>VAR_fin</v>
          </cell>
          <cell r="D246" t="str">
            <v>NGA</v>
          </cell>
          <cell r="E246">
            <v>26.991489565805491</v>
          </cell>
          <cell r="F246">
            <v>26.875933843477728</v>
          </cell>
          <cell r="G246">
            <v>24.270593253758836</v>
          </cell>
          <cell r="H246">
            <v>22.959410615435246</v>
          </cell>
          <cell r="I246">
            <v>17.428858995504751</v>
          </cell>
          <cell r="J246">
            <v>22.319487735432176</v>
          </cell>
        </row>
        <row r="247">
          <cell r="B247" t="str">
            <v>D-SNGA</v>
          </cell>
          <cell r="C247" t="str">
            <v>VAR_fin</v>
          </cell>
          <cell r="D247" t="str">
            <v>BNGA</v>
          </cell>
          <cell r="E247">
            <v>0.30812399485881542</v>
          </cell>
          <cell r="F247">
            <v>1.7034663356405173</v>
          </cell>
          <cell r="G247">
            <v>0.97268115189417015</v>
          </cell>
          <cell r="H247">
            <v>6.8615794820821329E-4</v>
          </cell>
          <cell r="I247">
            <v>1.5264972872579093E-4</v>
          </cell>
          <cell r="J247">
            <v>1.0089307633081657E-4</v>
          </cell>
        </row>
        <row r="248">
          <cell r="B248" t="str">
            <v>D-SNGA</v>
          </cell>
          <cell r="C248" t="str">
            <v>VAR_ncap</v>
          </cell>
          <cell r="D248" t="str">
            <v>-</v>
          </cell>
          <cell r="E248">
            <v>3.66956527794371E-7</v>
          </cell>
          <cell r="F248">
            <v>1.5097157842041799E-7</v>
          </cell>
          <cell r="G248">
            <v>2.04907489371709E-7</v>
          </cell>
          <cell r="H248">
            <v>2.3698665660556101E-7</v>
          </cell>
          <cell r="I248">
            <v>8.4361583952706702E-7</v>
          </cell>
          <cell r="J248">
            <v>1.48844255716045E-2</v>
          </cell>
        </row>
        <row r="249">
          <cell r="B249" t="str">
            <v>D-SNGA</v>
          </cell>
          <cell r="C249" t="str">
            <v>VAR_cap</v>
          </cell>
          <cell r="D249" t="str">
            <v>-</v>
          </cell>
          <cell r="E249">
            <v>2.235052568581668</v>
          </cell>
          <cell r="F249">
            <v>2.2350527195532464</v>
          </cell>
          <cell r="G249">
            <v>2.2350529244607356</v>
          </cell>
          <cell r="H249">
            <v>2.2350531614473925</v>
          </cell>
          <cell r="I249">
            <v>2.2350545140601552</v>
          </cell>
          <cell r="J249">
            <v>1.1357772404954793</v>
          </cell>
        </row>
        <row r="250">
          <cell r="B250" t="str">
            <v>RHES-CHPWOD</v>
          </cell>
          <cell r="C250" t="str">
            <v>VAR_fout</v>
          </cell>
          <cell r="D250" t="str">
            <v>RHES_KEV_WOD_ELC_CHP</v>
          </cell>
          <cell r="E250"/>
          <cell r="F250"/>
          <cell r="G250"/>
          <cell r="H250">
            <v>3.4175567659315895E-4</v>
          </cell>
          <cell r="I250">
            <v>4.2666457480515442E-4</v>
          </cell>
          <cell r="J250">
            <v>2.5096739295638406E-4</v>
          </cell>
        </row>
        <row r="251">
          <cell r="B251" t="str">
            <v>RHES-CHPWOD</v>
          </cell>
          <cell r="C251" t="str">
            <v>VAR_fout</v>
          </cell>
          <cell r="D251" t="str">
            <v>RHES_LTH_CHPWOD</v>
          </cell>
          <cell r="E251"/>
          <cell r="F251"/>
          <cell r="G251"/>
          <cell r="H251">
            <v>9.2259262758156177E-4</v>
          </cell>
          <cell r="I251">
            <v>1.1042145042431443E-3</v>
          </cell>
          <cell r="J251">
            <v>6.2373337951977434E-4</v>
          </cell>
        </row>
        <row r="252">
          <cell r="B252" t="str">
            <v>RHES-CHPWOD</v>
          </cell>
          <cell r="C252" t="str">
            <v>VAR_fin</v>
          </cell>
          <cell r="D252" t="str">
            <v>RWOD</v>
          </cell>
          <cell r="E252"/>
          <cell r="F252"/>
          <cell r="G252"/>
          <cell r="H252">
            <v>1.763566750265601E-3</v>
          </cell>
          <cell r="I252">
            <v>2.0991134928187135E-3</v>
          </cell>
          <cell r="J252">
            <v>1.1979918748392427E-3</v>
          </cell>
        </row>
        <row r="253">
          <cell r="B253" t="str">
            <v>RHES-CHPWOD</v>
          </cell>
          <cell r="C253" t="str">
            <v>VAR_ncap</v>
          </cell>
          <cell r="D253" t="str">
            <v>-</v>
          </cell>
          <cell r="E253"/>
          <cell r="F253"/>
          <cell r="G253"/>
          <cell r="H253">
            <v>3.0278814626111498E-5</v>
          </cell>
          <cell r="I253">
            <v>8.6501254389558806E-6</v>
          </cell>
          <cell r="J253">
            <v>1.24088747541235E-5</v>
          </cell>
        </row>
        <row r="254">
          <cell r="B254" t="str">
            <v>RHES-CHPWOD</v>
          </cell>
          <cell r="C254" t="str">
            <v>VAR_cap</v>
          </cell>
          <cell r="D254" t="str">
            <v>-</v>
          </cell>
          <cell r="E254"/>
          <cell r="F254"/>
          <cell r="G254"/>
          <cell r="H254">
            <v>3.0278814626111498E-5</v>
          </cell>
          <cell r="I254">
            <v>3.7953417042412947E-5</v>
          </cell>
          <cell r="J254">
            <v>2.2324651486757101E-5</v>
          </cell>
        </row>
        <row r="255">
          <cell r="B255" t="str">
            <v>G-INTC-RES</v>
          </cell>
          <cell r="C255" t="str">
            <v>VAR_fout</v>
          </cell>
          <cell r="D255" t="str">
            <v>RHNS_ELC</v>
          </cell>
          <cell r="E255">
            <v>14.369576414405202</v>
          </cell>
          <cell r="F255">
            <v>14.879694191299292</v>
          </cell>
          <cell r="G255">
            <v>15.462920817432316</v>
          </cell>
          <cell r="H255">
            <v>16.17075883476403</v>
          </cell>
          <cell r="I255">
            <v>18.860356161749049</v>
          </cell>
          <cell r="J255">
            <v>19.363243219829844</v>
          </cell>
        </row>
        <row r="256">
          <cell r="B256" t="str">
            <v>G-INTC-RES</v>
          </cell>
          <cell r="C256" t="str">
            <v>VAR_fout</v>
          </cell>
          <cell r="D256" t="str">
            <v>ELC35</v>
          </cell>
          <cell r="E256">
            <v>47.56603570504037</v>
          </cell>
          <cell r="F256">
            <v>3.5657146531960656E-3</v>
          </cell>
          <cell r="G256">
            <v>8.1595810486449812E-3</v>
          </cell>
          <cell r="H256">
            <v>2.2497418545472112E-3</v>
          </cell>
          <cell r="I256">
            <v>2.8436041217988718E-3</v>
          </cell>
          <cell r="J256">
            <v>1.9034245427600859E-3</v>
          </cell>
        </row>
        <row r="257">
          <cell r="B257" t="str">
            <v>G-INTC-RES</v>
          </cell>
          <cell r="C257" t="str">
            <v>VAR_fout</v>
          </cell>
          <cell r="D257" t="str">
            <v>RHES_ELC</v>
          </cell>
          <cell r="E257">
            <v>22.027444595146669</v>
          </cell>
          <cell r="F257">
            <v>19.120621032036944</v>
          </cell>
          <cell r="G257">
            <v>19.292838465304879</v>
          </cell>
          <cell r="H257">
            <v>19.728630292010568</v>
          </cell>
          <cell r="I257">
            <v>22.821478749788447</v>
          </cell>
          <cell r="J257">
            <v>23.54247568451056</v>
          </cell>
        </row>
        <row r="258">
          <cell r="B258" t="str">
            <v>G-INTC-RES</v>
          </cell>
          <cell r="C258" t="str">
            <v>VAR_fout</v>
          </cell>
          <cell r="D258" t="str">
            <v>RHNM_ELC</v>
          </cell>
          <cell r="E258">
            <v>10.068859736313183</v>
          </cell>
          <cell r="F258">
            <v>14.905613453415654</v>
          </cell>
          <cell r="G258">
            <v>15.058598720873114</v>
          </cell>
          <cell r="H258">
            <v>15.620406901904508</v>
          </cell>
          <cell r="I258">
            <v>17.868115393041819</v>
          </cell>
          <cell r="J258">
            <v>17.876331415874819</v>
          </cell>
        </row>
        <row r="259">
          <cell r="B259" t="str">
            <v>G-INTC-RES</v>
          </cell>
          <cell r="C259" t="str">
            <v>VAR_fout</v>
          </cell>
          <cell r="D259" t="str">
            <v>RHEM_ELC</v>
          </cell>
          <cell r="E259">
            <v>23.064488890323201</v>
          </cell>
          <cell r="F259">
            <v>18.687452359386867</v>
          </cell>
          <cell r="G259">
            <v>16.658323514197356</v>
          </cell>
          <cell r="H259">
            <v>17.76407045119462</v>
          </cell>
          <cell r="I259">
            <v>20.147810612171021</v>
          </cell>
          <cell r="J259">
            <v>20.359014608785341</v>
          </cell>
        </row>
        <row r="260">
          <cell r="B260" t="str">
            <v>G-INTC-RES</v>
          </cell>
          <cell r="C260" t="str">
            <v>VAR_fin</v>
          </cell>
          <cell r="D260" t="str">
            <v>ELC5</v>
          </cell>
          <cell r="E260">
            <v>117.09633722628652</v>
          </cell>
          <cell r="F260">
            <v>67.596946750791943</v>
          </cell>
          <cell r="G260">
            <v>66.480841098856274</v>
          </cell>
          <cell r="H260">
            <v>69.286116221728236</v>
          </cell>
          <cell r="I260">
            <v>79.700604520872176</v>
          </cell>
          <cell r="J260">
            <v>81.142968353543324</v>
          </cell>
        </row>
        <row r="261">
          <cell r="B261" t="str">
            <v>G-INTC-RES</v>
          </cell>
          <cell r="C261" t="str">
            <v>VAR_ncap</v>
          </cell>
          <cell r="D261" t="str">
            <v>-</v>
          </cell>
          <cell r="E261">
            <v>5.8491309106746897E-8</v>
          </cell>
          <cell r="F261">
            <v>6.0665093554626401E-8</v>
          </cell>
          <cell r="G261">
            <v>5.33182244229044E-8</v>
          </cell>
          <cell r="H261">
            <v>7.3006244916729806E-8</v>
          </cell>
          <cell r="I261">
            <v>8.6697057164435797E-8</v>
          </cell>
          <cell r="J261">
            <v>1.6062710110269401E-7</v>
          </cell>
        </row>
        <row r="262">
          <cell r="B262" t="str">
            <v>G-INTC-RES</v>
          </cell>
          <cell r="C262" t="str">
            <v>VAR_cap</v>
          </cell>
          <cell r="D262" t="str">
            <v>-</v>
          </cell>
          <cell r="E262">
            <v>4.3300925142827298</v>
          </cell>
          <cell r="F262">
            <v>4.3300925333004283</v>
          </cell>
          <cell r="G262">
            <v>4.3300926334391328</v>
          </cell>
          <cell r="H262">
            <v>4.3300927269246143</v>
          </cell>
          <cell r="I262">
            <v>4.3300928984169085</v>
          </cell>
          <cell r="J262">
            <v>4.3300930622285572</v>
          </cell>
        </row>
        <row r="263">
          <cell r="B263" t="str">
            <v>SCOM-CHPNGA</v>
          </cell>
          <cell r="C263" t="str">
            <v>VAR_fout</v>
          </cell>
          <cell r="D263" t="str">
            <v>CO2_S</v>
          </cell>
          <cell r="E263">
            <v>93.848988449150298</v>
          </cell>
          <cell r="F263">
            <v>98.057417528387802</v>
          </cell>
          <cell r="G263">
            <v>2.71169180013047</v>
          </cell>
          <cell r="H263">
            <v>2.6362286384045999</v>
          </cell>
          <cell r="I263">
            <v>4.0141750407385599</v>
          </cell>
          <cell r="J263">
            <v>0.16503986647003899</v>
          </cell>
        </row>
        <row r="264">
          <cell r="B264" t="str">
            <v>SCOM-CHPNGA</v>
          </cell>
          <cell r="C264" t="str">
            <v>VAR_fout</v>
          </cell>
          <cell r="D264" t="str">
            <v>SCOM_NKEV_GAS_ELC_CHP</v>
          </cell>
          <cell r="E264">
            <v>0.59441403777155122</v>
          </cell>
          <cell r="F264">
            <v>0.62589143741754594</v>
          </cell>
          <cell r="G264">
            <v>1.6334125437085855E-2</v>
          </cell>
          <cell r="H264">
            <v>1.6482437977468054E-2</v>
          </cell>
          <cell r="I264">
            <v>2.5233439253347634E-2</v>
          </cell>
          <cell r="J264">
            <v>5.9960829624777312E-4</v>
          </cell>
        </row>
        <row r="265">
          <cell r="B265" t="str">
            <v>SCOM-CHPNGA</v>
          </cell>
          <cell r="C265" t="str">
            <v>VAR_fout</v>
          </cell>
          <cell r="D265" t="str">
            <v>SCOM_LTH_CHPNGA</v>
          </cell>
          <cell r="E265">
            <v>0.69259509160404931</v>
          </cell>
          <cell r="F265">
            <v>0.75022824803953425</v>
          </cell>
          <cell r="G265">
            <v>2.0399356513237456E-2</v>
          </cell>
          <cell r="H265">
            <v>2.1964273004481921E-2</v>
          </cell>
          <cell r="I265">
            <v>3.7850439865843626E-2</v>
          </cell>
          <cell r="J265">
            <v>8.9941244437166017E-4</v>
          </cell>
        </row>
        <row r="266">
          <cell r="B266" t="str">
            <v>SCOM-CHPNGA</v>
          </cell>
          <cell r="C266" t="str">
            <v>VAR_fin</v>
          </cell>
          <cell r="D266" t="str">
            <v>SNGA</v>
          </cell>
          <cell r="E266">
            <v>1.6639891568998277</v>
          </cell>
          <cell r="F266">
            <v>1.7386066937657427</v>
          </cell>
          <cell r="G266">
            <v>4.8079641846284951E-2</v>
          </cell>
          <cell r="H266">
            <v>4.6741642524904238E-2</v>
          </cell>
          <cell r="I266">
            <v>7.1173316325151767E-2</v>
          </cell>
          <cell r="J266">
            <v>2.9262387671992636E-3</v>
          </cell>
        </row>
        <row r="267">
          <cell r="B267" t="str">
            <v>SCOM-CHPNGA</v>
          </cell>
          <cell r="C267" t="str">
            <v>VAR_ncap</v>
          </cell>
          <cell r="D267" t="str">
            <v>-</v>
          </cell>
          <cell r="E267"/>
          <cell r="F267">
            <v>2.7171189355516701E-2</v>
          </cell>
          <cell r="G267">
            <v>3.3386328609919498E-7</v>
          </cell>
          <cell r="H267">
            <v>6.4287395706221001E-7</v>
          </cell>
          <cell r="I267">
            <v>9.7041905161852598E-5</v>
          </cell>
          <cell r="J267">
            <v>1.52270891720641E-7</v>
          </cell>
        </row>
        <row r="268">
          <cell r="B268" t="str">
            <v>SCOM-CHPNGA</v>
          </cell>
          <cell r="C268" t="str">
            <v>VAR_cap</v>
          </cell>
          <cell r="D268" t="str">
            <v>-</v>
          </cell>
          <cell r="E268">
            <v>6.5199535414913301E-2</v>
          </cell>
          <cell r="F268">
            <v>4.7877040155449684E-2</v>
          </cell>
          <cell r="G268">
            <v>2.667343697707894E-3</v>
          </cell>
          <cell r="H268">
            <v>2.6649777505945021E-3</v>
          </cell>
          <cell r="I268">
            <v>1.4810845752230989E-3</v>
          </cell>
          <cell r="J268">
            <v>9.7458353700316812E-5</v>
          </cell>
        </row>
        <row r="269">
          <cell r="B269" t="str">
            <v>D-IPLT</v>
          </cell>
          <cell r="C269" t="str">
            <v>VAR_fout</v>
          </cell>
          <cell r="D269" t="str">
            <v>IPLT</v>
          </cell>
          <cell r="E269">
            <v>0.62580379174949397</v>
          </cell>
          <cell r="F269">
            <v>0.73758005755724709</v>
          </cell>
          <cell r="G269">
            <v>0.73665825388096751</v>
          </cell>
          <cell r="H269">
            <v>0.73458991893932046</v>
          </cell>
          <cell r="I269">
            <v>0.73050284763771689</v>
          </cell>
          <cell r="J269">
            <v>0.72644694035857182</v>
          </cell>
        </row>
        <row r="270">
          <cell r="B270" t="str">
            <v>D-IPLT</v>
          </cell>
          <cell r="C270" t="str">
            <v>VAR_fin</v>
          </cell>
          <cell r="D270" t="str">
            <v>PLT</v>
          </cell>
          <cell r="E270">
            <v>0.62580379174949397</v>
          </cell>
          <cell r="F270">
            <v>0.73758005755724709</v>
          </cell>
          <cell r="G270">
            <v>0.73665825388096751</v>
          </cell>
          <cell r="H270">
            <v>0.73458991893932046</v>
          </cell>
          <cell r="I270">
            <v>0.73050284763771689</v>
          </cell>
          <cell r="J270">
            <v>0.72644694035857182</v>
          </cell>
        </row>
        <row r="271">
          <cell r="B271" t="str">
            <v>LTH-STG</v>
          </cell>
          <cell r="C271" t="str">
            <v>VAR_fout</v>
          </cell>
          <cell r="D271" t="str">
            <v>AUX_LTH-STG_OUT</v>
          </cell>
          <cell r="E271">
            <v>1.4516822227430583E-4</v>
          </cell>
          <cell r="F271">
            <v>4.9178146876591047E-4</v>
          </cell>
          <cell r="G271">
            <v>3.9116889939046825E-3</v>
          </cell>
          <cell r="H271">
            <v>9.0849163585262423E-4</v>
          </cell>
          <cell r="I271">
            <v>1.7020207944425621E-3</v>
          </cell>
          <cell r="J271">
            <v>6.8506532650861068E-2</v>
          </cell>
        </row>
        <row r="272">
          <cell r="B272" t="str">
            <v>LTH-STG</v>
          </cell>
          <cell r="C272" t="str">
            <v>VAR_fout</v>
          </cell>
          <cell r="D272" t="str">
            <v>LTH</v>
          </cell>
          <cell r="E272">
            <v>1.4516822227430545E-4</v>
          </cell>
          <cell r="F272">
            <v>4.9210932307842037E-4</v>
          </cell>
          <cell r="G272">
            <v>3.9157636699399959E-3</v>
          </cell>
          <cell r="H272">
            <v>9.0849163585262423E-4</v>
          </cell>
          <cell r="I272">
            <v>1.7020207944425563E-3</v>
          </cell>
          <cell r="J272">
            <v>6.8506532650861068E-2</v>
          </cell>
        </row>
        <row r="273">
          <cell r="B273" t="str">
            <v>LTH-STG</v>
          </cell>
          <cell r="C273" t="str">
            <v>VAR_fin</v>
          </cell>
          <cell r="D273" t="str">
            <v>AUX_LTH-STG_IN</v>
          </cell>
          <cell r="E273">
            <v>1.8906612765030688E-4</v>
          </cell>
          <cell r="F273">
            <v>6.465297511339689E-4</v>
          </cell>
          <cell r="G273">
            <v>5.0559636886939631E-3</v>
          </cell>
          <cell r="H273">
            <v>1.1322459182774149E-3</v>
          </cell>
          <cell r="I273">
            <v>2.0056992452853984E-3</v>
          </cell>
          <cell r="J273">
            <v>7.6121714845347757E-2</v>
          </cell>
        </row>
        <row r="274">
          <cell r="B274" t="str">
            <v>LTH-STG</v>
          </cell>
          <cell r="C274" t="str">
            <v>VAR_fin</v>
          </cell>
          <cell r="D274" t="str">
            <v>LTH</v>
          </cell>
          <cell r="E274">
            <v>1.8906612765030688E-4</v>
          </cell>
          <cell r="F274">
            <v>6.465297511339689E-4</v>
          </cell>
          <cell r="G274">
            <v>5.0559636886939631E-3</v>
          </cell>
          <cell r="H274">
            <v>1.1322459182774149E-3</v>
          </cell>
          <cell r="I274">
            <v>2.0056992452853984E-3</v>
          </cell>
          <cell r="J274">
            <v>7.6121714845347757E-2</v>
          </cell>
        </row>
        <row r="275">
          <cell r="B275" t="str">
            <v>LTH-STG</v>
          </cell>
          <cell r="C275" t="str">
            <v>VAR_ncap</v>
          </cell>
          <cell r="D275" t="str">
            <v>-</v>
          </cell>
          <cell r="E275">
            <v>9.2610503715916996E-5</v>
          </cell>
          <cell r="F275">
            <v>3.1220439642712299E-6</v>
          </cell>
          <cell r="G275">
            <v>2.3733117970627699E-6</v>
          </cell>
          <cell r="H275">
            <v>2.3932508517739401E-6</v>
          </cell>
          <cell r="I275">
            <v>5.5731377248856101E-5</v>
          </cell>
          <cell r="J275">
            <v>4.5776635517804302E-2</v>
          </cell>
        </row>
        <row r="276">
          <cell r="B276" t="str">
            <v>LTH-STG</v>
          </cell>
          <cell r="C276" t="str">
            <v>VAR_cap</v>
          </cell>
          <cell r="D276" t="str">
            <v>-</v>
          </cell>
          <cell r="E276">
            <v>2.5747875713735358E-4</v>
          </cell>
          <cell r="F276">
            <v>2.594162578689295E-4</v>
          </cell>
          <cell r="G276">
            <v>2.5987256178806639E-4</v>
          </cell>
          <cell r="H276">
            <v>1.6590557808824469E-4</v>
          </cell>
          <cell r="I276">
            <v>1.6156895900554355E-4</v>
          </cell>
          <cell r="J276">
            <v>4.5892336202957233E-2</v>
          </cell>
        </row>
        <row r="277">
          <cell r="B277" t="str">
            <v>ITOT-CHPOIL</v>
          </cell>
          <cell r="C277" t="str">
            <v>VAR_fout</v>
          </cell>
          <cell r="D277" t="str">
            <v>ITOT_LTH_CHP</v>
          </cell>
          <cell r="E277">
            <v>0.92947428113275277</v>
          </cell>
          <cell r="F277">
            <v>2.0709484585605802</v>
          </cell>
          <cell r="G277">
            <v>2.9276382545590264E-2</v>
          </cell>
          <cell r="H277">
            <v>1.314849508620662</v>
          </cell>
          <cell r="I277">
            <v>4.1965154937227203E-2</v>
          </cell>
          <cell r="J277">
            <v>0.37361490883573978</v>
          </cell>
        </row>
        <row r="278">
          <cell r="B278" t="str">
            <v>ITOT-CHPOIL</v>
          </cell>
          <cell r="C278" t="str">
            <v>VAR_fout</v>
          </cell>
          <cell r="D278" t="str">
            <v>ITOT_NKEV_OIL_ELC_CHP</v>
          </cell>
          <cell r="E278">
            <v>7.0511842016967391E-2</v>
          </cell>
          <cell r="F278">
            <v>0.17136082894022106</v>
          </cell>
          <cell r="G278">
            <v>2.8041051875315566E-3</v>
          </cell>
          <cell r="H278">
            <v>0.17077588745587385</v>
          </cell>
          <cell r="I278">
            <v>1.893119367064558E-2</v>
          </cell>
          <cell r="J278">
            <v>0.16854402677626179</v>
          </cell>
        </row>
        <row r="279">
          <cell r="B279" t="str">
            <v>ITOT-CHPOIL</v>
          </cell>
          <cell r="C279" t="str">
            <v>VAR_fout</v>
          </cell>
          <cell r="D279" t="str">
            <v>CO2_I</v>
          </cell>
          <cell r="E279">
            <v>21.7956172497152</v>
          </cell>
          <cell r="F279">
            <v>51.208476853625598</v>
          </cell>
          <cell r="G279">
            <v>0.91793986360291702</v>
          </cell>
          <cell r="H279">
            <v>47.796828435177801</v>
          </cell>
          <cell r="I279">
            <v>5.3200788044651199</v>
          </cell>
          <cell r="J279">
            <v>47.9167865742385</v>
          </cell>
        </row>
        <row r="280">
          <cell r="B280" t="str">
            <v>ITOT-CHPOIL</v>
          </cell>
          <cell r="C280" t="str">
            <v>VAR_fin</v>
          </cell>
          <cell r="D280" t="str">
            <v>ILFO</v>
          </cell>
          <cell r="E280">
            <v>0.29573429104091231</v>
          </cell>
          <cell r="F280">
            <v>0.69482329516452679</v>
          </cell>
          <cell r="G280">
            <v>1.2455086344680009E-2</v>
          </cell>
          <cell r="H280">
            <v>0.6485322718477301</v>
          </cell>
          <cell r="I280">
            <v>7.2185601146066716E-2</v>
          </cell>
          <cell r="J280">
            <v>0.65015992638044118</v>
          </cell>
        </row>
        <row r="281">
          <cell r="B281" t="str">
            <v>ITOT-CHPOIL</v>
          </cell>
          <cell r="C281" t="str">
            <v>VAR_ncap</v>
          </cell>
          <cell r="D281" t="str">
            <v>-</v>
          </cell>
          <cell r="E281"/>
          <cell r="F281">
            <v>5.4669379389581298E-3</v>
          </cell>
          <cell r="G281">
            <v>2.8844133633862599E-6</v>
          </cell>
          <cell r="H281">
            <v>1.61712489591457E-2</v>
          </cell>
          <cell r="I281">
            <v>2.3991335112205098E-2</v>
          </cell>
          <cell r="J281">
            <v>5.6661093045432397E-2</v>
          </cell>
        </row>
        <row r="282">
          <cell r="B282" t="str">
            <v>ITOT-CHPOIL</v>
          </cell>
          <cell r="C282" t="str">
            <v>VAR_cap</v>
          </cell>
          <cell r="D282" t="str">
            <v>-</v>
          </cell>
          <cell r="E282">
            <v>8.3047945013168048E-3</v>
          </cell>
          <cell r="F282">
            <v>6.3995435343463282E-3</v>
          </cell>
          <cell r="G282">
            <v>6.4014466251850486E-3</v>
          </cell>
          <cell r="H282">
            <v>2.2572564983023367E-2</v>
          </cell>
          <cell r="I282">
            <v>4.7889114443256206E-2</v>
          </cell>
          <cell r="J282">
            <v>7.9508943532833623E-2</v>
          </cell>
        </row>
        <row r="283">
          <cell r="B283" t="str">
            <v>ENUC_GOE</v>
          </cell>
          <cell r="C283" t="str">
            <v>VAR_fout</v>
          </cell>
          <cell r="D283" t="str">
            <v>ELC</v>
          </cell>
          <cell r="E283">
            <v>29.714399999999063</v>
          </cell>
          <cell r="F283">
            <v>29.714393361227152</v>
          </cell>
          <cell r="G283">
            <v>26.221856047607229</v>
          </cell>
          <cell r="H283">
            <v>29.714414199203276</v>
          </cell>
          <cell r="I283"/>
          <cell r="J283"/>
        </row>
        <row r="284">
          <cell r="B284" t="str">
            <v>ENUC_GOE</v>
          </cell>
          <cell r="C284" t="str">
            <v>VAR_fin</v>
          </cell>
          <cell r="D284" t="str">
            <v>URN</v>
          </cell>
          <cell r="E284">
            <v>89.580575353716497</v>
          </cell>
          <cell r="F284">
            <v>89.580555339682647</v>
          </cell>
          <cell r="G284">
            <v>79.051535672504116</v>
          </cell>
          <cell r="H284">
            <v>89.580618160331483</v>
          </cell>
          <cell r="I284"/>
          <cell r="J284"/>
        </row>
        <row r="285">
          <cell r="B285" t="str">
            <v>ENUC_GOE</v>
          </cell>
          <cell r="C285" t="str">
            <v>VAR_cap</v>
          </cell>
          <cell r="D285" t="str">
            <v>-</v>
          </cell>
          <cell r="E285">
            <v>1.0099999595796332</v>
          </cell>
          <cell r="F285">
            <v>1.0099999197069662</v>
          </cell>
          <cell r="G285">
            <v>1.0100007732477174</v>
          </cell>
          <cell r="H285">
            <v>1.0100006373712271</v>
          </cell>
          <cell r="I285"/>
          <cell r="J285"/>
        </row>
        <row r="286">
          <cell r="B286" t="str">
            <v>D-RNGA</v>
          </cell>
          <cell r="C286" t="str">
            <v>VAR_fout</v>
          </cell>
          <cell r="D286" t="str">
            <v>CO2</v>
          </cell>
          <cell r="E286">
            <v>2651.86138300121</v>
          </cell>
          <cell r="F286">
            <v>2613.6737884106101</v>
          </cell>
          <cell r="G286">
            <v>2679.7545785109901</v>
          </cell>
          <cell r="H286">
            <v>2614.0699807956498</v>
          </cell>
          <cell r="I286">
            <v>2578.6174216145801</v>
          </cell>
          <cell r="J286">
            <v>2128.76192929948</v>
          </cell>
        </row>
        <row r="287">
          <cell r="B287" t="str">
            <v>D-RNGA</v>
          </cell>
          <cell r="C287" t="str">
            <v>VAR_fout</v>
          </cell>
          <cell r="D287" t="str">
            <v>RNGA</v>
          </cell>
          <cell r="E287">
            <v>47.18027407438391</v>
          </cell>
          <cell r="F287">
            <v>48.283001000412739</v>
          </cell>
          <cell r="G287">
            <v>48.547458487101103</v>
          </cell>
          <cell r="H287">
            <v>46.201861174665432</v>
          </cell>
          <cell r="I287">
            <v>45.574726618915797</v>
          </cell>
          <cell r="J287">
            <v>37.623912432609345</v>
          </cell>
        </row>
        <row r="288">
          <cell r="B288" t="str">
            <v>D-RNGA</v>
          </cell>
          <cell r="C288" t="str">
            <v>VAR_fin</v>
          </cell>
          <cell r="D288" t="str">
            <v>NGA</v>
          </cell>
          <cell r="E288">
            <v>47.018818847539137</v>
          </cell>
          <cell r="F288">
            <v>46.341733837067508</v>
          </cell>
          <cell r="G288">
            <v>47.51337905161332</v>
          </cell>
          <cell r="H288">
            <v>46.348758524745492</v>
          </cell>
          <cell r="I288">
            <v>45.720167049903942</v>
          </cell>
          <cell r="J288">
            <v>37.744005838643304</v>
          </cell>
        </row>
        <row r="289">
          <cell r="B289" t="str">
            <v>D-RNGA</v>
          </cell>
          <cell r="C289" t="str">
            <v>VAR_fin</v>
          </cell>
          <cell r="D289" t="str">
            <v>BNGA</v>
          </cell>
          <cell r="E289">
            <v>0.31217825457288184</v>
          </cell>
          <cell r="F289">
            <v>2.0955129841116067</v>
          </cell>
          <cell r="G289">
            <v>1.1891700973213322</v>
          </cell>
          <cell r="H289">
            <v>7.0002063342414558E-4</v>
          </cell>
          <cell r="I289">
            <v>1.5348338919326328E-4</v>
          </cell>
          <cell r="J289">
            <v>1.006816027565621E-4</v>
          </cell>
        </row>
        <row r="290">
          <cell r="B290" t="str">
            <v>D-RNGA</v>
          </cell>
          <cell r="C290" t="str">
            <v>VAR_ncap</v>
          </cell>
          <cell r="D290" t="str">
            <v>-</v>
          </cell>
          <cell r="E290">
            <v>3.3438581069403102E-7</v>
          </cell>
          <cell r="F290">
            <v>1.3855642926773701E-7</v>
          </cell>
          <cell r="G290">
            <v>1.6974201300314999E-7</v>
          </cell>
          <cell r="H290">
            <v>1.5139712381201E-7</v>
          </cell>
          <cell r="I290">
            <v>4.5531343305229701E-7</v>
          </cell>
          <cell r="J290">
            <v>0.40134918726592</v>
          </cell>
        </row>
        <row r="291">
          <cell r="B291" t="str">
            <v>D-RNGA</v>
          </cell>
          <cell r="C291" t="str">
            <v>VAR_cap</v>
          </cell>
          <cell r="D291" t="str">
            <v>-</v>
          </cell>
          <cell r="E291">
            <v>3.0972403417817307</v>
          </cell>
          <cell r="F291">
            <v>3.0972404803381601</v>
          </cell>
          <cell r="G291">
            <v>3.097240650080173</v>
          </cell>
          <cell r="H291">
            <v>3.0972408014772967</v>
          </cell>
          <cell r="I291">
            <v>3.0972416447098445</v>
          </cell>
          <cell r="J291">
            <v>1.954633072616065</v>
          </cell>
        </row>
        <row r="292">
          <cell r="B292" t="str">
            <v>RHES-CHPGFC</v>
          </cell>
          <cell r="C292" t="str">
            <v>VAR_fout</v>
          </cell>
          <cell r="D292" t="str">
            <v>CO2_R</v>
          </cell>
          <cell r="E292"/>
          <cell r="F292"/>
          <cell r="G292"/>
          <cell r="H292">
            <v>1.5843539511431099E-2</v>
          </cell>
          <cell r="I292">
            <v>4.8906467215703298E-2</v>
          </cell>
          <cell r="J292">
            <v>4.5122364557508697E-2</v>
          </cell>
        </row>
        <row r="293">
          <cell r="B293" t="str">
            <v>RHES-CHPGFC</v>
          </cell>
          <cell r="C293" t="str">
            <v>VAR_fout</v>
          </cell>
          <cell r="D293" t="str">
            <v>RHES_NKEV_GAS_ELC_CHP</v>
          </cell>
          <cell r="E293"/>
          <cell r="F293"/>
          <cell r="G293"/>
          <cell r="H293">
            <v>1.1798380487235909E-4</v>
          </cell>
          <cell r="I293">
            <v>3.815398151579692E-4</v>
          </cell>
          <cell r="J293">
            <v>3.6001886615033573E-4</v>
          </cell>
        </row>
        <row r="294">
          <cell r="B294" t="str">
            <v>RHES-CHPGFC</v>
          </cell>
          <cell r="C294" t="str">
            <v>VAR_fout</v>
          </cell>
          <cell r="D294" t="str">
            <v>RHES_LTH_CHPNGA</v>
          </cell>
          <cell r="E294"/>
          <cell r="F294"/>
          <cell r="G294"/>
          <cell r="H294">
            <v>1.3214186145704218E-4</v>
          </cell>
          <cell r="I294">
            <v>4.0443220406744706E-4</v>
          </cell>
          <cell r="J294">
            <v>3.6001886615033573E-4</v>
          </cell>
        </row>
        <row r="295">
          <cell r="B295" t="str">
            <v>RHES-CHPGFC</v>
          </cell>
          <cell r="C295" t="str">
            <v>VAR_fin</v>
          </cell>
          <cell r="D295" t="str">
            <v>RNGA</v>
          </cell>
          <cell r="E295"/>
          <cell r="F295"/>
          <cell r="G295"/>
          <cell r="H295">
            <v>2.8091382112466423E-4</v>
          </cell>
          <cell r="I295">
            <v>8.6713594354083921E-4</v>
          </cell>
          <cell r="J295">
            <v>8.0004192477852289E-4</v>
          </cell>
        </row>
        <row r="296">
          <cell r="B296" t="str">
            <v>RHES-CHPGFC</v>
          </cell>
          <cell r="C296" t="str">
            <v>VAR_ncap</v>
          </cell>
          <cell r="D296" t="str">
            <v>-</v>
          </cell>
          <cell r="E296"/>
          <cell r="F296"/>
          <cell r="G296"/>
          <cell r="H296">
            <v>1.01706182924337E-5</v>
          </cell>
          <cell r="I296">
            <v>6.8194566033142601E-7</v>
          </cell>
          <cell r="J296">
            <v>1.02580280639179E-5</v>
          </cell>
        </row>
        <row r="297">
          <cell r="B297" t="str">
            <v>RHES-CHPGFC</v>
          </cell>
          <cell r="C297" t="str">
            <v>VAR_cap</v>
          </cell>
          <cell r="D297" t="str">
            <v>-</v>
          </cell>
          <cell r="E297"/>
          <cell r="F297"/>
          <cell r="G297"/>
          <cell r="H297">
            <v>1.01706182924337E-5</v>
          </cell>
          <cell r="I297">
            <v>3.3673937381146975E-5</v>
          </cell>
          <cell r="J297">
            <v>3.1732216796550873E-5</v>
          </cell>
        </row>
        <row r="298">
          <cell r="B298" t="str">
            <v>G-INTC-TRA</v>
          </cell>
          <cell r="C298" t="str">
            <v>VAR_fout</v>
          </cell>
          <cell r="D298" t="str">
            <v>TRAN_ELC</v>
          </cell>
          <cell r="E298">
            <v>6.5832236679272009</v>
          </cell>
          <cell r="F298">
            <v>12.173192727581826</v>
          </cell>
          <cell r="G298">
            <v>15.132766023138373</v>
          </cell>
          <cell r="H298">
            <v>23.403118033620611</v>
          </cell>
          <cell r="I298">
            <v>25.433265861580054</v>
          </cell>
          <cell r="J298">
            <v>25.715713888952244</v>
          </cell>
        </row>
        <row r="299">
          <cell r="B299" t="str">
            <v>G-INTC-TRA</v>
          </cell>
          <cell r="C299" t="str">
            <v>VAR_fin</v>
          </cell>
          <cell r="D299" t="str">
            <v>ELC3</v>
          </cell>
          <cell r="E299">
            <v>6.0768218473174187</v>
          </cell>
          <cell r="F299">
            <v>12.170018876698139</v>
          </cell>
          <cell r="G299">
            <v>15.125515260566187</v>
          </cell>
          <cell r="H299">
            <v>16.451696835515474</v>
          </cell>
          <cell r="I299">
            <v>13.277660854207248</v>
          </cell>
          <cell r="J299">
            <v>11.79993200600657</v>
          </cell>
        </row>
        <row r="300">
          <cell r="B300" t="str">
            <v>G-INTC-TRA</v>
          </cell>
          <cell r="C300" t="str">
            <v>VAR_fin</v>
          </cell>
          <cell r="D300" t="str">
            <v>ELC5</v>
          </cell>
          <cell r="E300">
            <v>0.50640182060978511</v>
          </cell>
          <cell r="F300">
            <v>3.1738508836956598E-3</v>
          </cell>
          <cell r="G300">
            <v>7.2507625721835558E-3</v>
          </cell>
          <cell r="H300">
            <v>6.9514211981051375</v>
          </cell>
          <cell r="I300">
            <v>12.155605007372818</v>
          </cell>
          <cell r="J300">
            <v>13.915781882945668</v>
          </cell>
        </row>
        <row r="301">
          <cell r="B301" t="str">
            <v>G-INTC-TRA</v>
          </cell>
          <cell r="C301" t="str">
            <v>VAR_ncap</v>
          </cell>
          <cell r="D301" t="str">
            <v>-</v>
          </cell>
          <cell r="E301">
            <v>1.4468662366606299E-7</v>
          </cell>
          <cell r="F301">
            <v>1.5487132096899299E-7</v>
          </cell>
          <cell r="G301">
            <v>1.9074936490240699E-7</v>
          </cell>
          <cell r="H301">
            <v>3.0991768175633098E-7</v>
          </cell>
          <cell r="I301">
            <v>2.6928101890326701E-7</v>
          </cell>
          <cell r="J301">
            <v>4.69589766830348E-7</v>
          </cell>
        </row>
        <row r="302">
          <cell r="B302" t="str">
            <v>G-INTC-TRA</v>
          </cell>
          <cell r="C302" t="str">
            <v>VAR_cap</v>
          </cell>
          <cell r="D302" t="str">
            <v>-</v>
          </cell>
          <cell r="E302">
            <v>0.86351880627381705</v>
          </cell>
          <cell r="F302">
            <v>0.86351885331681566</v>
          </cell>
          <cell r="G302">
            <v>0.86351910583176172</v>
          </cell>
          <cell r="H302">
            <v>0.86351946709453176</v>
          </cell>
          <cell r="I302">
            <v>0.86352005174086555</v>
          </cell>
          <cell r="J302">
            <v>0.8635205388455538</v>
          </cell>
        </row>
        <row r="303">
          <cell r="B303" t="str">
            <v>SCOM-SWHSTG-CHPBIO</v>
          </cell>
          <cell r="C303" t="str">
            <v>VAR_fout</v>
          </cell>
          <cell r="D303" t="str">
            <v>AUX_SCOM-CHPBIO_OUT</v>
          </cell>
          <cell r="E303">
            <v>3.2030174795880037E-5</v>
          </cell>
          <cell r="F303">
            <v>9.4967232172846392E-5</v>
          </cell>
          <cell r="G303">
            <v>7.7756060240885772</v>
          </cell>
          <cell r="H303">
            <v>8.8602622876648063</v>
          </cell>
          <cell r="I303">
            <v>13.364476694943965</v>
          </cell>
          <cell r="J303">
            <v>99.585886888254322</v>
          </cell>
        </row>
        <row r="304">
          <cell r="B304" t="str">
            <v>SCOM-SWHSTG-CHPBIO</v>
          </cell>
          <cell r="C304" t="str">
            <v>VAR_fout</v>
          </cell>
          <cell r="D304" t="str">
            <v>SCOM_LTH_CHPBIO</v>
          </cell>
          <cell r="E304">
            <v>3.2030174795880085E-5</v>
          </cell>
          <cell r="F304">
            <v>9.5044855453294377E-5</v>
          </cell>
          <cell r="G304">
            <v>7.785536555409255</v>
          </cell>
          <cell r="H304">
            <v>8.8602622876647974</v>
          </cell>
          <cell r="I304">
            <v>13.364476694943951</v>
          </cell>
          <cell r="J304">
            <v>99.585886888254322</v>
          </cell>
        </row>
        <row r="305">
          <cell r="B305" t="str">
            <v>SCOM-SWHSTG-CHPBIO</v>
          </cell>
          <cell r="C305" t="str">
            <v>VAR_fin</v>
          </cell>
          <cell r="D305" t="str">
            <v>SCOM_LTH_CHPBIO</v>
          </cell>
          <cell r="E305">
            <v>4.8900721647276336E-5</v>
          </cell>
          <cell r="F305">
            <v>1.2236359769489258E-4</v>
          </cell>
          <cell r="G305">
            <v>9.2684788117133259</v>
          </cell>
          <cell r="H305">
            <v>10.184193890049833</v>
          </cell>
          <cell r="I305">
            <v>14.370399894188287</v>
          </cell>
          <cell r="J305">
            <v>100.59181019174777</v>
          </cell>
        </row>
        <row r="306">
          <cell r="B306" t="str">
            <v>SCOM-SWHSTG-CHPBIO</v>
          </cell>
          <cell r="C306" t="str">
            <v>VAR_fin</v>
          </cell>
          <cell r="D306" t="str">
            <v>AUX_SCOM-CHPBIO_IN</v>
          </cell>
          <cell r="E306">
            <v>4.8900721647276336E-5</v>
          </cell>
          <cell r="F306">
            <v>1.2236359769489258E-4</v>
          </cell>
          <cell r="G306">
            <v>9.2684788117133259</v>
          </cell>
          <cell r="H306">
            <v>10.184193890049833</v>
          </cell>
          <cell r="I306">
            <v>14.370399894188287</v>
          </cell>
          <cell r="J306">
            <v>100.59181019174777</v>
          </cell>
        </row>
        <row r="307">
          <cell r="B307" t="str">
            <v>SCOM-SWHSTG-CHPBIO</v>
          </cell>
          <cell r="C307" t="str">
            <v>VAR_ncap</v>
          </cell>
          <cell r="D307" t="str">
            <v>-</v>
          </cell>
          <cell r="E307">
            <v>2.8180764119233501E-3</v>
          </cell>
          <cell r="F307">
            <v>3.6163912522774899E-5</v>
          </cell>
          <cell r="G307">
            <v>0.48629377002269603</v>
          </cell>
          <cell r="H307">
            <v>6.6341104502544199E-2</v>
          </cell>
          <cell r="I307">
            <v>0.60039767649417097</v>
          </cell>
          <cell r="J307">
            <v>5.7092030798128004</v>
          </cell>
        </row>
        <row r="308">
          <cell r="B308" t="str">
            <v>SCOM-SWHSTG-CHPBIO</v>
          </cell>
          <cell r="C308" t="str">
            <v>VAR_cap</v>
          </cell>
          <cell r="D308" t="str">
            <v>-</v>
          </cell>
          <cell r="E308">
            <v>2.8180764119233501E-3</v>
          </cell>
          <cell r="F308">
            <v>2.8506560321202223E-3</v>
          </cell>
          <cell r="G308">
            <v>0.48913231844980509</v>
          </cell>
          <cell r="H308">
            <v>0.55545542533538961</v>
          </cell>
          <cell r="I308">
            <v>0.83389962951694674</v>
          </cell>
          <cell r="J308">
            <v>6.1881032255438715</v>
          </cell>
        </row>
        <row r="309">
          <cell r="B309" t="str">
            <v>SCOM-SWHSTG-CHPHFC</v>
          </cell>
          <cell r="C309" t="str">
            <v>VAR_fout</v>
          </cell>
          <cell r="D309" t="str">
            <v>AUX_SCOM-CHPHFC_OUT</v>
          </cell>
          <cell r="E309">
            <v>3.4925919951422289E-4</v>
          </cell>
          <cell r="F309">
            <v>2.6560795767227677E-4</v>
          </cell>
          <cell r="G309">
            <v>2.712995567651364E-4</v>
          </cell>
          <cell r="H309">
            <v>1.4067384424844574E-4</v>
          </cell>
          <cell r="I309">
            <v>1.5037548867749618E-4</v>
          </cell>
          <cell r="J309">
            <v>8.003856655722283E-5</v>
          </cell>
        </row>
        <row r="310">
          <cell r="B310" t="str">
            <v>SCOM-SWHSTG-CHPHFC</v>
          </cell>
          <cell r="C310" t="str">
            <v>VAR_fout</v>
          </cell>
          <cell r="D310" t="str">
            <v>SCOM_LTH_CHPHFC</v>
          </cell>
          <cell r="E310">
            <v>3.4925919951422365E-4</v>
          </cell>
          <cell r="F310">
            <v>2.6582505740779458E-4</v>
          </cell>
          <cell r="G310">
            <v>2.7164604406624144E-4</v>
          </cell>
          <cell r="H310">
            <v>1.406738442484455E-4</v>
          </cell>
          <cell r="I310">
            <v>1.5037548867749602E-4</v>
          </cell>
          <cell r="J310">
            <v>8.003856655722283E-5</v>
          </cell>
        </row>
        <row r="311">
          <cell r="B311" t="str">
            <v>SCOM-SWHSTG-CHPHFC</v>
          </cell>
          <cell r="C311" t="str">
            <v>VAR_fin</v>
          </cell>
          <cell r="D311" t="str">
            <v>SCOM_LTH_CHPHFC</v>
          </cell>
          <cell r="E311">
            <v>3.4925919951422365E-4</v>
          </cell>
          <cell r="F311">
            <v>2.6582505740779458E-4</v>
          </cell>
          <cell r="G311">
            <v>2.7164604406624144E-4</v>
          </cell>
          <cell r="H311">
            <v>1.406738442484455E-4</v>
          </cell>
          <cell r="I311">
            <v>1.5037548867749602E-4</v>
          </cell>
          <cell r="J311">
            <v>8.003856655722283E-5</v>
          </cell>
        </row>
        <row r="312">
          <cell r="B312" t="str">
            <v>SCOM-SWHSTG-CHPHFC</v>
          </cell>
          <cell r="C312" t="str">
            <v>VAR_fin</v>
          </cell>
          <cell r="D312" t="str">
            <v>AUX_SCOM-CHPHFC_IN</v>
          </cell>
          <cell r="E312">
            <v>3.4925919951422365E-4</v>
          </cell>
          <cell r="F312">
            <v>2.6582505740779458E-4</v>
          </cell>
          <cell r="G312">
            <v>2.7164604406624144E-4</v>
          </cell>
          <cell r="H312">
            <v>1.406738442484455E-4</v>
          </cell>
          <cell r="I312">
            <v>1.5037548867749602E-4</v>
          </cell>
          <cell r="J312">
            <v>8.003856655722283E-5</v>
          </cell>
        </row>
        <row r="313">
          <cell r="B313" t="str">
            <v>SCOM-SWHSTG-CHPHFC</v>
          </cell>
          <cell r="C313" t="str">
            <v>VAR_ncap</v>
          </cell>
          <cell r="D313" t="str">
            <v>-</v>
          </cell>
          <cell r="E313">
            <v>9.0507786106287303E-4</v>
          </cell>
          <cell r="F313">
            <v>2.6981220635236499E-5</v>
          </cell>
          <cell r="G313">
            <v>1.8482474426522499E-5</v>
          </cell>
          <cell r="H313">
            <v>1.40891104467066E-5</v>
          </cell>
          <cell r="I313">
            <v>9.3429587455041605E-5</v>
          </cell>
          <cell r="J313">
            <v>8.2120907048249396E-5</v>
          </cell>
        </row>
        <row r="314">
          <cell r="B314" t="str">
            <v>SCOM-SWHSTG-CHPHFC</v>
          </cell>
          <cell r="C314" t="str">
            <v>VAR_cap</v>
          </cell>
          <cell r="D314" t="str">
            <v>-</v>
          </cell>
          <cell r="E314">
            <v>9.0507786106287303E-4</v>
          </cell>
          <cell r="F314">
            <v>9.2833458293871147E-4</v>
          </cell>
          <cell r="G314">
            <v>9.3650264430401203E-4</v>
          </cell>
          <cell r="H314">
            <v>9.1709398578317342E-4</v>
          </cell>
          <cell r="I314">
            <v>7.8399685498684252E-4</v>
          </cell>
          <cell r="J314">
            <v>4.3084926510607671E-4</v>
          </cell>
        </row>
        <row r="315">
          <cell r="B315" t="str">
            <v>D-IHFO</v>
          </cell>
          <cell r="C315" t="str">
            <v>VAR_fout</v>
          </cell>
          <cell r="D315" t="str">
            <v>CO2</v>
          </cell>
          <cell r="E315">
            <v>213.781904816398</v>
          </cell>
          <cell r="F315">
            <v>203.09540523844399</v>
          </cell>
          <cell r="G315">
            <v>0.25238764921894702</v>
          </cell>
          <cell r="H315">
            <v>4.5849994996031401E-2</v>
          </cell>
          <cell r="I315">
            <v>5.43182381215086E-2</v>
          </cell>
          <cell r="J315"/>
        </row>
        <row r="316">
          <cell r="B316" t="str">
            <v>D-IHFO</v>
          </cell>
          <cell r="C316" t="str">
            <v>VAR_fout</v>
          </cell>
          <cell r="D316" t="str">
            <v>IHFO</v>
          </cell>
          <cell r="E316">
            <v>2.7300194527988766</v>
          </cell>
          <cell r="F316">
            <v>2.5935516270715397</v>
          </cell>
          <cell r="G316">
            <v>3.2230192382543166E-3</v>
          </cell>
          <cell r="H316">
            <v>5.8550969670420605E-4</v>
          </cell>
          <cell r="I316">
            <v>6.9365013302147998E-4</v>
          </cell>
          <cell r="J316"/>
        </row>
        <row r="317">
          <cell r="B317" t="str">
            <v>D-IHFO</v>
          </cell>
          <cell r="C317" t="str">
            <v>VAR_fin</v>
          </cell>
          <cell r="D317" t="str">
            <v>HFO</v>
          </cell>
          <cell r="E317">
            <v>2.7763883742389397</v>
          </cell>
          <cell r="F317">
            <v>2.6376026654343394</v>
          </cell>
          <cell r="G317">
            <v>3.277761678168145E-3</v>
          </cell>
          <cell r="H317">
            <v>5.9545448046794064E-4</v>
          </cell>
          <cell r="I317">
            <v>7.0543166391569701E-4</v>
          </cell>
          <cell r="J317"/>
        </row>
        <row r="318">
          <cell r="B318" t="str">
            <v>RHNM-CHPNGA</v>
          </cell>
          <cell r="C318" t="str">
            <v>VAR_fout</v>
          </cell>
          <cell r="D318" t="str">
            <v>CO2_R</v>
          </cell>
          <cell r="E318"/>
          <cell r="F318">
            <v>0.242994249946623</v>
          </cell>
          <cell r="G318">
            <v>0.62498556756968004</v>
          </cell>
          <cell r="H318">
            <v>62.892127348137201</v>
          </cell>
          <cell r="I318">
            <v>345.19567148411102</v>
          </cell>
          <cell r="J318">
            <v>285.42267977077</v>
          </cell>
        </row>
        <row r="319">
          <cell r="B319" t="str">
            <v>RHNM-CHPNGA</v>
          </cell>
          <cell r="C319" t="str">
            <v>VAR_fout</v>
          </cell>
          <cell r="D319" t="str">
            <v>RHNM_NKEV_GAS_ELC_CHP</v>
          </cell>
          <cell r="E319"/>
          <cell r="F319">
            <v>1.2442961392915863E-3</v>
          </cell>
          <cell r="G319">
            <v>2.656427195385243E-3</v>
          </cell>
          <cell r="H319">
            <v>0.33429166160601909</v>
          </cell>
          <cell r="I319">
            <v>1.8586768997737169</v>
          </cell>
          <cell r="J319">
            <v>1.5582617867517412</v>
          </cell>
        </row>
        <row r="320">
          <cell r="B320" t="str">
            <v>RHNM-CHPNGA</v>
          </cell>
          <cell r="C320" t="str">
            <v>VAR_fout</v>
          </cell>
          <cell r="D320" t="str">
            <v>RHNM_LTH_CHPNGA</v>
          </cell>
          <cell r="E320"/>
          <cell r="F320">
            <v>2.6768099474691214E-3</v>
          </cell>
          <cell r="G320">
            <v>5.6304043083797647E-3</v>
          </cell>
          <cell r="H320">
            <v>0.69086943398577372</v>
          </cell>
          <cell r="I320">
            <v>3.7478239126584736</v>
          </cell>
          <cell r="J320">
            <v>3.0662570642534259</v>
          </cell>
        </row>
        <row r="321">
          <cell r="B321" t="str">
            <v>RHNM-CHPNGA</v>
          </cell>
          <cell r="C321" t="str">
            <v>VAR_fin</v>
          </cell>
          <cell r="D321" t="str">
            <v>RNGA</v>
          </cell>
          <cell r="E321"/>
          <cell r="F321">
            <v>4.3084086869968688E-3</v>
          </cell>
          <cell r="G321">
            <v>1.1081304389533336E-2</v>
          </cell>
          <cell r="H321">
            <v>1.1151086409244184</v>
          </cell>
          <cell r="I321">
            <v>6.1204906291508978</v>
          </cell>
          <cell r="J321">
            <v>5.0606858115384652</v>
          </cell>
        </row>
        <row r="322">
          <cell r="B322" t="str">
            <v>RHNM-CHPNGA</v>
          </cell>
          <cell r="C322" t="str">
            <v>VAR_ncap</v>
          </cell>
          <cell r="D322" t="str">
            <v>-</v>
          </cell>
          <cell r="E322"/>
          <cell r="F322">
            <v>1.45227110980147E-4</v>
          </cell>
          <cell r="G322">
            <v>5.90865661149303E-5</v>
          </cell>
          <cell r="H322">
            <v>2.4601304493585701E-2</v>
          </cell>
          <cell r="I322">
            <v>9.3682028615852203E-2</v>
          </cell>
          <cell r="J322">
            <v>8.0734558598631892E-6</v>
          </cell>
        </row>
        <row r="323">
          <cell r="B323" t="str">
            <v>RHNM-CHPNGA</v>
          </cell>
          <cell r="C323" t="str">
            <v>VAR_cap</v>
          </cell>
          <cell r="D323" t="str">
            <v>-</v>
          </cell>
          <cell r="E323"/>
          <cell r="F323">
            <v>1.45227110980147E-4</v>
          </cell>
          <cell r="G323">
            <v>2.0428683942733916E-4</v>
          </cell>
          <cell r="H323">
            <v>2.4805533257855002E-2</v>
          </cell>
          <cell r="I323">
            <v>0.13792025885011849</v>
          </cell>
          <cell r="J323">
            <v>0.11562827388356411</v>
          </cell>
        </row>
        <row r="324">
          <cell r="B324" t="str">
            <v>G-INTC-EXP00-DE</v>
          </cell>
          <cell r="C324" t="str">
            <v>VAR_fout</v>
          </cell>
          <cell r="D324" t="str">
            <v>ELC_E-DE</v>
          </cell>
          <cell r="E324">
            <v>26.492980452767849</v>
          </cell>
          <cell r="F324">
            <v>4.2340776429941065E-4</v>
          </cell>
          <cell r="G324">
            <v>4.6212250265163487E-4</v>
          </cell>
          <cell r="H324">
            <v>3.3568140780620271E-4</v>
          </cell>
          <cell r="I324">
            <v>1.2126497578161797E-3</v>
          </cell>
          <cell r="J324">
            <v>3.4399906960396815E-4</v>
          </cell>
        </row>
        <row r="325">
          <cell r="B325" t="str">
            <v>G-INTC-EXP00-DE</v>
          </cell>
          <cell r="C325" t="str">
            <v>VAR_fin</v>
          </cell>
          <cell r="D325" t="str">
            <v>ELC</v>
          </cell>
          <cell r="E325">
            <v>26.492980452767849</v>
          </cell>
          <cell r="F325">
            <v>4.2340776429941065E-4</v>
          </cell>
          <cell r="G325">
            <v>4.6212250265163487E-4</v>
          </cell>
          <cell r="H325">
            <v>3.3568140780620271E-4</v>
          </cell>
          <cell r="I325">
            <v>1.2126497578161797E-3</v>
          </cell>
          <cell r="J325">
            <v>3.4399906960396815E-4</v>
          </cell>
        </row>
        <row r="326">
          <cell r="B326" t="str">
            <v>G-INTC-EXP00-DE</v>
          </cell>
          <cell r="C326" t="str">
            <v>VAR_ncap</v>
          </cell>
          <cell r="D326" t="str">
            <v>-</v>
          </cell>
          <cell r="E326">
            <v>6.4062567760084105E-7</v>
          </cell>
          <cell r="F326">
            <v>6.0177317602974896E-7</v>
          </cell>
          <cell r="G326">
            <v>1.06159663565045E-6</v>
          </cell>
          <cell r="H326">
            <v>2.46148612451351E-6</v>
          </cell>
          <cell r="I326">
            <v>4.9843649379282103E-6</v>
          </cell>
          <cell r="J326">
            <v>7.4470485690265904E-6</v>
          </cell>
        </row>
        <row r="327">
          <cell r="B327" t="str">
            <v>G-INTC-EXP00-DE</v>
          </cell>
          <cell r="C327" t="str">
            <v>VAR_cap</v>
          </cell>
          <cell r="D327" t="str">
            <v>-</v>
          </cell>
          <cell r="E327">
            <v>4.0265307182758523</v>
          </cell>
          <cell r="F327">
            <v>6.470069070694251E-4</v>
          </cell>
          <cell r="G327">
            <v>6.4327043440925991E-4</v>
          </cell>
          <cell r="H327">
            <v>6.4194263796224504E-4</v>
          </cell>
          <cell r="I327">
            <v>6.4101174676345352E-4</v>
          </cell>
          <cell r="J327">
            <v>3.3052804971323013E-4</v>
          </cell>
        </row>
        <row r="328">
          <cell r="B328" t="str">
            <v>CEN-EBAT</v>
          </cell>
          <cell r="C328" t="str">
            <v>VAR_fout</v>
          </cell>
          <cell r="D328" t="str">
            <v>ELC13</v>
          </cell>
          <cell r="E328">
            <v>3.5016827323279287E-3</v>
          </cell>
          <cell r="F328">
            <v>2.7479167992972074E-3</v>
          </cell>
          <cell r="G328">
            <v>3.5095655414663328E-3</v>
          </cell>
          <cell r="H328">
            <v>3.2037191212764614E-3</v>
          </cell>
          <cell r="I328">
            <v>8.8165772223394862E-2</v>
          </cell>
          <cell r="J328">
            <v>0.56566588999772205</v>
          </cell>
        </row>
        <row r="329">
          <cell r="B329" t="str">
            <v>CEN-EBAT</v>
          </cell>
          <cell r="C329" t="str">
            <v>VAR_fout</v>
          </cell>
          <cell r="D329" t="str">
            <v>AUX_CEN-EBAT_OUT</v>
          </cell>
          <cell r="E329">
            <v>3.5016827323279182E-3</v>
          </cell>
          <cell r="F329">
            <v>2.7479167992972009E-3</v>
          </cell>
          <cell r="G329">
            <v>3.5095655414663228E-3</v>
          </cell>
          <cell r="H329">
            <v>3.2037191212764518E-3</v>
          </cell>
          <cell r="I329">
            <v>8.816577222339457E-2</v>
          </cell>
          <cell r="J329">
            <v>0.56566588999772083</v>
          </cell>
        </row>
        <row r="330">
          <cell r="B330" t="str">
            <v>CEN-EBAT</v>
          </cell>
          <cell r="C330" t="str">
            <v>VAR_fin</v>
          </cell>
          <cell r="D330" t="str">
            <v>AUX_CEN-EBAT_IN</v>
          </cell>
          <cell r="E330">
            <v>4.0745984648568089E-3</v>
          </cell>
          <cell r="F330">
            <v>3.1877995550985338E-3</v>
          </cell>
          <cell r="G330">
            <v>4.0478758117290653E-3</v>
          </cell>
          <cell r="H330">
            <v>3.697378817548318E-3</v>
          </cell>
          <cell r="I330">
            <v>0.10168760826706645</v>
          </cell>
          <cell r="J330">
            <v>0.65241195706626698</v>
          </cell>
        </row>
        <row r="331">
          <cell r="B331" t="str">
            <v>CEN-EBAT</v>
          </cell>
          <cell r="C331" t="str">
            <v>VAR_fin</v>
          </cell>
          <cell r="D331" t="str">
            <v>ELC13</v>
          </cell>
          <cell r="E331">
            <v>4.0745984648568089E-3</v>
          </cell>
          <cell r="F331">
            <v>3.1877995550985338E-3</v>
          </cell>
          <cell r="G331">
            <v>4.0478758117290653E-3</v>
          </cell>
          <cell r="H331">
            <v>3.697378817548318E-3</v>
          </cell>
          <cell r="I331">
            <v>0.10168760826706645</v>
          </cell>
          <cell r="J331">
            <v>0.65241195706626698</v>
          </cell>
        </row>
        <row r="332">
          <cell r="B332" t="str">
            <v>CEN-EBAT</v>
          </cell>
          <cell r="C332" t="str">
            <v>VAR_ncap</v>
          </cell>
          <cell r="D332" t="str">
            <v>-</v>
          </cell>
          <cell r="E332">
            <v>5.9779626547404698E-4</v>
          </cell>
          <cell r="F332">
            <v>7.9254287195896E-7</v>
          </cell>
          <cell r="G332">
            <v>3.7176479628452702E-6</v>
          </cell>
          <cell r="H332">
            <v>1.04501147925366E-4</v>
          </cell>
          <cell r="I332">
            <v>3.3954663729012E-2</v>
          </cell>
          <cell r="J332">
            <v>0.17864861664326301</v>
          </cell>
        </row>
        <row r="333">
          <cell r="B333" t="str">
            <v>CEN-EBAT</v>
          </cell>
          <cell r="C333" t="str">
            <v>VAR_cap</v>
          </cell>
          <cell r="D333" t="str">
            <v>-</v>
          </cell>
          <cell r="E333">
            <v>5.9779626547404698E-4</v>
          </cell>
          <cell r="F333">
            <v>5.9810850172073394E-4</v>
          </cell>
          <cell r="G333">
            <v>6.0163158941364022E-4</v>
          </cell>
          <cell r="H333">
            <v>5.4556141649370288E-4</v>
          </cell>
          <cell r="I333">
            <v>3.45497477754853E-2</v>
          </cell>
          <cell r="J333">
            <v>0.19577784538008003</v>
          </cell>
        </row>
        <row r="334">
          <cell r="B334" t="str">
            <v>ESOL-PV</v>
          </cell>
          <cell r="C334" t="str">
            <v>VAR_fout</v>
          </cell>
          <cell r="D334" t="str">
            <v>ELC35</v>
          </cell>
          <cell r="E334"/>
          <cell r="F334"/>
          <cell r="G334">
            <v>0.14081197866949283</v>
          </cell>
          <cell r="H334">
            <v>0.15586434608257976</v>
          </cell>
          <cell r="I334">
            <v>1.4212577959690369</v>
          </cell>
          <cell r="J334">
            <v>5.8670656872020794</v>
          </cell>
        </row>
        <row r="335">
          <cell r="B335" t="str">
            <v>ESOL-PV</v>
          </cell>
          <cell r="C335" t="str">
            <v>VAR_fin</v>
          </cell>
          <cell r="D335" t="str">
            <v>SOL</v>
          </cell>
          <cell r="E335"/>
          <cell r="F335"/>
          <cell r="G335">
            <v>0.14081197866949283</v>
          </cell>
          <cell r="H335">
            <v>0.15586434608257976</v>
          </cell>
          <cell r="I335">
            <v>1.4212577959690369</v>
          </cell>
          <cell r="J335">
            <v>5.8670656872020794</v>
          </cell>
        </row>
        <row r="336">
          <cell r="B336" t="str">
            <v>ESOL-PV</v>
          </cell>
          <cell r="C336" t="str">
            <v>VAR_fin</v>
          </cell>
          <cell r="D336" t="str">
            <v>SOLPVC</v>
          </cell>
          <cell r="E336"/>
          <cell r="F336"/>
          <cell r="G336">
            <v>0.14081197866949299</v>
          </cell>
          <cell r="H336">
            <v>0.15586434608258001</v>
          </cell>
          <cell r="I336">
            <v>1.42125779596904</v>
          </cell>
          <cell r="J336">
            <v>5.8670656872020803</v>
          </cell>
        </row>
        <row r="337">
          <cell r="B337" t="str">
            <v>ESOL-PV</v>
          </cell>
          <cell r="C337" t="str">
            <v>VAR_ncap</v>
          </cell>
          <cell r="D337" t="str">
            <v>-</v>
          </cell>
          <cell r="E337"/>
          <cell r="F337"/>
          <cell r="G337">
            <v>4.49274651833294E-2</v>
          </cell>
          <cell r="H337">
            <v>5.6671611347919101E-6</v>
          </cell>
          <cell r="I337">
            <v>0.170545275808275</v>
          </cell>
          <cell r="J337">
            <v>1.36598410516515</v>
          </cell>
        </row>
        <row r="338">
          <cell r="B338" t="str">
            <v>ESOL-PV</v>
          </cell>
          <cell r="C338" t="str">
            <v>VAR_cap</v>
          </cell>
          <cell r="D338" t="str">
            <v>-</v>
          </cell>
          <cell r="E338"/>
          <cell r="F338"/>
          <cell r="G338">
            <v>4.49274651833294E-2</v>
          </cell>
          <cell r="H338">
            <v>4.4933132344464201E-2</v>
          </cell>
          <cell r="I338">
            <v>0.409709960368005</v>
          </cell>
          <cell r="J338">
            <v>1.6913062651926301</v>
          </cell>
        </row>
        <row r="339">
          <cell r="B339" t="str">
            <v>RHEM-SHSTG-CHPNGA</v>
          </cell>
          <cell r="C339" t="str">
            <v>VAR_fout</v>
          </cell>
          <cell r="D339" t="str">
            <v>RHEM_LTH_CHPNGA</v>
          </cell>
          <cell r="E339">
            <v>2.7477129828882951E-2</v>
          </cell>
          <cell r="F339">
            <v>1.5899499162647392E-4</v>
          </cell>
          <cell r="G339">
            <v>3.3350537724250247E-3</v>
          </cell>
          <cell r="H339">
            <v>1.5974799239047453E-2</v>
          </cell>
          <cell r="I339">
            <v>13.554732259349692</v>
          </cell>
          <cell r="J339">
            <v>20.263827839519838</v>
          </cell>
        </row>
        <row r="340">
          <cell r="B340" t="str">
            <v>RHEM-SHSTG-CHPNGA</v>
          </cell>
          <cell r="C340" t="str">
            <v>VAR_fout</v>
          </cell>
          <cell r="D340" t="str">
            <v>AUX_REM-CHPNGA_OUT</v>
          </cell>
          <cell r="E340">
            <v>2.7477129828883024E-2</v>
          </cell>
          <cell r="F340">
            <v>1.5888906558275247E-4</v>
          </cell>
          <cell r="G340">
            <v>3.3315833730780701E-3</v>
          </cell>
          <cell r="H340">
            <v>1.5974799239047453E-2</v>
          </cell>
          <cell r="I340">
            <v>13.554732259349738</v>
          </cell>
          <cell r="J340">
            <v>20.263827839519852</v>
          </cell>
        </row>
        <row r="341">
          <cell r="B341" t="str">
            <v>RHEM-SHSTG-CHPNGA</v>
          </cell>
          <cell r="C341" t="str">
            <v>VAR_fin</v>
          </cell>
          <cell r="D341" t="str">
            <v>AUX_REM-CHPNGA_IN</v>
          </cell>
          <cell r="E341">
            <v>3.6650957632767198E-2</v>
          </cell>
          <cell r="F341">
            <v>2.0569495043561115E-4</v>
          </cell>
          <cell r="G341">
            <v>4.2965648701537244E-3</v>
          </cell>
          <cell r="H341">
            <v>1.997186879887581E-2</v>
          </cell>
          <cell r="I341">
            <v>15.946747203155603</v>
          </cell>
          <cell r="J341">
            <v>22.515367634759521</v>
          </cell>
        </row>
        <row r="342">
          <cell r="B342" t="str">
            <v>RHEM-SHSTG-CHPNGA</v>
          </cell>
          <cell r="C342" t="str">
            <v>VAR_fin</v>
          </cell>
          <cell r="D342" t="str">
            <v>RHEM_LTH_CHPNGA</v>
          </cell>
          <cell r="E342">
            <v>3.6650957632767198E-2</v>
          </cell>
          <cell r="F342">
            <v>2.0569495043561115E-4</v>
          </cell>
          <cell r="G342">
            <v>4.2965648701537244E-3</v>
          </cell>
          <cell r="H342">
            <v>1.997186879887581E-2</v>
          </cell>
          <cell r="I342">
            <v>15.946747203155603</v>
          </cell>
          <cell r="J342">
            <v>22.515367634759521</v>
          </cell>
        </row>
        <row r="343">
          <cell r="B343" t="str">
            <v>RHEM-SHSTG-CHPNGA</v>
          </cell>
          <cell r="C343" t="str">
            <v>VAR_ncap</v>
          </cell>
          <cell r="D343" t="str">
            <v>-</v>
          </cell>
          <cell r="E343">
            <v>3.60810361169257E-3</v>
          </cell>
          <cell r="F343">
            <v>4.0180463046175403E-5</v>
          </cell>
          <cell r="G343">
            <v>7.9703406328770305E-5</v>
          </cell>
          <cell r="H343">
            <v>7.1805962293380998E-3</v>
          </cell>
          <cell r="I343">
            <v>0.81454142556138998</v>
          </cell>
          <cell r="J343">
            <v>0.67699269930291905</v>
          </cell>
        </row>
        <row r="344">
          <cell r="B344" t="str">
            <v>RHEM-SHSTG-CHPNGA</v>
          </cell>
          <cell r="C344" t="str">
            <v>VAR_cap</v>
          </cell>
          <cell r="D344" t="str">
            <v>-</v>
          </cell>
          <cell r="E344">
            <v>3.60810361169257E-3</v>
          </cell>
          <cell r="F344">
            <v>3.6424048741999352E-3</v>
          </cell>
          <cell r="G344">
            <v>3.7078965395345074E-3</v>
          </cell>
          <cell r="H344">
            <v>1.0851426722443607E-2</v>
          </cell>
          <cell r="I344">
            <v>0.85965649689702561</v>
          </cell>
          <cell r="J344">
            <v>1.2851321943808285</v>
          </cell>
        </row>
        <row r="345">
          <cell r="B345" t="str">
            <v>RHNS-ESOLPV</v>
          </cell>
          <cell r="C345" t="str">
            <v>VAR_fout</v>
          </cell>
          <cell r="D345" t="str">
            <v>RHNS_SOL_ELC</v>
          </cell>
          <cell r="E345"/>
          <cell r="F345">
            <v>2.9998206161728846E-5</v>
          </cell>
          <cell r="G345">
            <v>2.6277198815397125E-3</v>
          </cell>
          <cell r="H345">
            <v>2.9064191154468959E-3</v>
          </cell>
          <cell r="I345">
            <v>3.2132932405380728E-3</v>
          </cell>
          <cell r="J345">
            <v>3.5554117632227589E-3</v>
          </cell>
        </row>
        <row r="346">
          <cell r="B346" t="str">
            <v>RHNS-ESOLPV</v>
          </cell>
          <cell r="C346" t="str">
            <v>VAR_fin</v>
          </cell>
          <cell r="D346" t="str">
            <v>SOL</v>
          </cell>
          <cell r="E346"/>
          <cell r="F346">
            <v>2.9998206161728846E-5</v>
          </cell>
          <cell r="G346">
            <v>2.6277198815397125E-3</v>
          </cell>
          <cell r="H346">
            <v>2.9064191154468959E-3</v>
          </cell>
          <cell r="I346">
            <v>3.2132932405380728E-3</v>
          </cell>
          <cell r="J346">
            <v>3.5554117632227589E-3</v>
          </cell>
        </row>
        <row r="347">
          <cell r="B347" t="str">
            <v>RHNS-ESOLPV</v>
          </cell>
          <cell r="C347" t="str">
            <v>VAR_fin</v>
          </cell>
          <cell r="D347" t="str">
            <v>SOLPVC</v>
          </cell>
          <cell r="E347"/>
          <cell r="F347">
            <v>2.9998206161728802E-5</v>
          </cell>
          <cell r="G347">
            <v>2.6277198815397099E-3</v>
          </cell>
          <cell r="H347">
            <v>2.9064191154468998E-3</v>
          </cell>
          <cell r="I347">
            <v>3.2132932405380698E-3</v>
          </cell>
          <cell r="J347">
            <v>3.5554117632227598E-3</v>
          </cell>
        </row>
        <row r="348">
          <cell r="B348" t="str">
            <v>RHNS-ESOLPV</v>
          </cell>
          <cell r="C348" t="str">
            <v>VAR_ncap</v>
          </cell>
          <cell r="D348" t="str">
            <v>-</v>
          </cell>
          <cell r="E348"/>
          <cell r="F348">
            <v>1.0275328102932401E-5</v>
          </cell>
          <cell r="G348">
            <v>8.2818078643812098E-4</v>
          </cell>
          <cell r="H348">
            <v>2.9138935564965802E-7</v>
          </cell>
          <cell r="I348">
            <v>5.0748128374510298E-5</v>
          </cell>
          <cell r="J348">
            <v>9.4060155961621502E-4</v>
          </cell>
        </row>
        <row r="349">
          <cell r="B349" t="str">
            <v>RHNS-ESOLPV</v>
          </cell>
          <cell r="C349" t="str">
            <v>VAR_cap</v>
          </cell>
          <cell r="D349" t="str">
            <v>-</v>
          </cell>
          <cell r="E349"/>
          <cell r="F349">
            <v>1.0275328102932401E-5</v>
          </cell>
          <cell r="G349">
            <v>8.3845611454105395E-4</v>
          </cell>
          <cell r="H349">
            <v>8.3874750389670305E-4</v>
          </cell>
          <cell r="I349">
            <v>9.2792434481176096E-4</v>
          </cell>
          <cell r="J349">
            <v>1.02599020704223E-3</v>
          </cell>
        </row>
        <row r="350">
          <cell r="B350" t="str">
            <v>RHSA-WHSTG-CHP</v>
          </cell>
          <cell r="C350" t="str">
            <v>VAR_fout</v>
          </cell>
          <cell r="D350" t="str">
            <v>AUX_RHSA-CHP_OUT</v>
          </cell>
          <cell r="E350">
            <v>8.0511466672335524E-2</v>
          </cell>
          <cell r="F350">
            <v>4.5424830599363449E-4</v>
          </cell>
          <cell r="G350">
            <v>5.5024400294502842E-3</v>
          </cell>
          <cell r="H350">
            <v>1.4266449438710966E-2</v>
          </cell>
          <cell r="I350">
            <v>1.152472831744108</v>
          </cell>
          <cell r="J350">
            <v>0.94695529541398349</v>
          </cell>
        </row>
        <row r="351">
          <cell r="B351" t="str">
            <v>RHSA-WHSTG-CHP</v>
          </cell>
          <cell r="C351" t="str">
            <v>VAR_fout</v>
          </cell>
          <cell r="D351" t="str">
            <v>RHSA_LTH</v>
          </cell>
          <cell r="E351">
            <v>8.0511466672335302E-2</v>
          </cell>
          <cell r="F351">
            <v>4.5455113819762948E-4</v>
          </cell>
          <cell r="G351">
            <v>5.5081717378142854E-3</v>
          </cell>
          <cell r="H351">
            <v>1.4266449438710966E-2</v>
          </cell>
          <cell r="I351">
            <v>1.152472831744104</v>
          </cell>
          <cell r="J351">
            <v>0.94695529541398282</v>
          </cell>
        </row>
        <row r="352">
          <cell r="B352" t="str">
            <v>RHSA-WHSTG-CHP</v>
          </cell>
          <cell r="C352" t="str">
            <v>VAR_fin</v>
          </cell>
          <cell r="D352" t="str">
            <v>RHSA_LTH</v>
          </cell>
          <cell r="E352">
            <v>0.10733065622157191</v>
          </cell>
          <cell r="F352">
            <v>6.0155580238215598E-4</v>
          </cell>
          <cell r="G352">
            <v>7.1005878271270962E-3</v>
          </cell>
          <cell r="H352">
            <v>1.783643140090678E-2</v>
          </cell>
          <cell r="I352">
            <v>1.3558537589137218</v>
          </cell>
          <cell r="J352">
            <v>1.0521759190865079</v>
          </cell>
        </row>
        <row r="353">
          <cell r="B353" t="str">
            <v>RHSA-WHSTG-CHP</v>
          </cell>
          <cell r="C353" t="str">
            <v>VAR_fin</v>
          </cell>
          <cell r="D353" t="str">
            <v>AUX_RHSA-CHP_IN</v>
          </cell>
          <cell r="E353">
            <v>0.10733065622157191</v>
          </cell>
          <cell r="F353">
            <v>6.0155580238215598E-4</v>
          </cell>
          <cell r="G353">
            <v>7.1005878271270962E-3</v>
          </cell>
          <cell r="H353">
            <v>1.783643140090678E-2</v>
          </cell>
          <cell r="I353">
            <v>1.3558537589137218</v>
          </cell>
          <cell r="J353">
            <v>1.0521759190865079</v>
          </cell>
        </row>
        <row r="354">
          <cell r="B354" t="str">
            <v>RHSA-WHSTG-CHP</v>
          </cell>
          <cell r="C354" t="str">
            <v>VAR_ncap</v>
          </cell>
          <cell r="D354" t="str">
            <v>-</v>
          </cell>
          <cell r="E354">
            <v>4.4584774570688704E-3</v>
          </cell>
          <cell r="F354">
            <v>2.2027453189916601E-5</v>
          </cell>
          <cell r="G354">
            <v>3.0345064374530902E-5</v>
          </cell>
          <cell r="H354">
            <v>1.4049527856656199E-3</v>
          </cell>
          <cell r="I354">
            <v>4.9187657999902303E-2</v>
          </cell>
          <cell r="J354">
            <v>1.4660865545797401E-2</v>
          </cell>
        </row>
        <row r="355">
          <cell r="B355" t="str">
            <v>RHSA-WHSTG-CHP</v>
          </cell>
          <cell r="C355" t="str">
            <v>VAR_cap</v>
          </cell>
          <cell r="D355" t="str">
            <v>-</v>
          </cell>
          <cell r="E355">
            <v>5.141275881970833E-3</v>
          </cell>
          <cell r="F355">
            <v>5.1375651390302805E-3</v>
          </cell>
          <cell r="G355">
            <v>5.1261746471069174E-3</v>
          </cell>
          <cell r="H355">
            <v>6.0871498132567129E-3</v>
          </cell>
          <cell r="I355">
            <v>7.3105888967303939E-2</v>
          </cell>
          <cell r="J355">
            <v>6.0062066591491631E-2</v>
          </cell>
        </row>
        <row r="356">
          <cell r="B356" t="str">
            <v>G-INTC-SER</v>
          </cell>
          <cell r="C356" t="str">
            <v>VAR_fout</v>
          </cell>
          <cell r="D356" t="str">
            <v>ELC35</v>
          </cell>
          <cell r="E356">
            <v>55.263525782943233</v>
          </cell>
          <cell r="F356">
            <v>3.6341432374100645E-3</v>
          </cell>
          <cell r="G356">
            <v>8.1939856562402349E-3</v>
          </cell>
          <cell r="H356">
            <v>2.3136006083190586E-3</v>
          </cell>
          <cell r="I356">
            <v>2.8879907554701886E-3</v>
          </cell>
          <cell r="J356">
            <v>1.9458492430283151E-3</v>
          </cell>
        </row>
        <row r="357">
          <cell r="B357" t="str">
            <v>G-INTC-SER</v>
          </cell>
          <cell r="C357" t="str">
            <v>VAR_fout</v>
          </cell>
          <cell r="D357" t="str">
            <v>SCOM_ELC</v>
          </cell>
          <cell r="E357">
            <v>59.899278101156717</v>
          </cell>
          <cell r="F357">
            <v>58.898982061003743</v>
          </cell>
          <cell r="G357">
            <v>57.019380356499397</v>
          </cell>
          <cell r="H357">
            <v>58.215992405355742</v>
          </cell>
          <cell r="I357">
            <v>61.296295147785948</v>
          </cell>
          <cell r="J357">
            <v>58.209503530417699</v>
          </cell>
        </row>
        <row r="358">
          <cell r="B358" t="str">
            <v>G-INTC-SER</v>
          </cell>
          <cell r="C358" t="str">
            <v>VAR_fin</v>
          </cell>
          <cell r="D358" t="str">
            <v>ELC5</v>
          </cell>
          <cell r="E358">
            <v>115.16280316627194</v>
          </cell>
          <cell r="F358">
            <v>58.902616204241177</v>
          </cell>
          <cell r="G358">
            <v>57.027574342155681</v>
          </cell>
          <cell r="H358">
            <v>58.218306005964031</v>
          </cell>
          <cell r="I358">
            <v>61.29918313854143</v>
          </cell>
          <cell r="J358">
            <v>58.211449379660756</v>
          </cell>
        </row>
        <row r="359">
          <cell r="B359" t="str">
            <v>G-INTC-SER</v>
          </cell>
          <cell r="C359" t="str">
            <v>VAR_ncap</v>
          </cell>
          <cell r="D359" t="str">
            <v>-</v>
          </cell>
          <cell r="E359">
            <v>6.3210147123793096E-8</v>
          </cell>
          <cell r="F359">
            <v>6.8458589506195395E-8</v>
          </cell>
          <cell r="G359">
            <v>6.4608808645009896E-8</v>
          </cell>
          <cell r="H359">
            <v>8.1026169046212494E-8</v>
          </cell>
          <cell r="I359">
            <v>1.3453223826974399E-7</v>
          </cell>
          <cell r="J359">
            <v>2.5248681271902799E-7</v>
          </cell>
        </row>
        <row r="360">
          <cell r="B360" t="str">
            <v>G-INTC-SER</v>
          </cell>
          <cell r="C360" t="str">
            <v>VAR_cap</v>
          </cell>
          <cell r="D360" t="str">
            <v>-</v>
          </cell>
          <cell r="E360">
            <v>4.3683888589490198</v>
          </cell>
          <cell r="F360">
            <v>4.368388879500988</v>
          </cell>
          <cell r="G360">
            <v>4.3683889906177562</v>
          </cell>
          <cell r="H360">
            <v>4.3683890998062997</v>
          </cell>
          <cell r="I360">
            <v>4.3683893168584751</v>
          </cell>
          <cell r="J360">
            <v>4.3683895734460707</v>
          </cell>
        </row>
        <row r="361">
          <cell r="B361" t="str">
            <v>CHPWOD</v>
          </cell>
          <cell r="C361" t="str">
            <v>VAR_fout</v>
          </cell>
          <cell r="D361" t="str">
            <v>ELC35</v>
          </cell>
          <cell r="E361">
            <v>0.42817183661497926</v>
          </cell>
          <cell r="F361">
            <v>7.8997239795932067E-2</v>
          </cell>
          <cell r="G361">
            <v>9.0707122573436183E-4</v>
          </cell>
          <cell r="H361">
            <v>1.014326983104932</v>
          </cell>
          <cell r="I361">
            <v>1.5690460937593658</v>
          </cell>
          <cell r="J361">
            <v>1.9763890719474042</v>
          </cell>
        </row>
        <row r="362">
          <cell r="B362" t="str">
            <v>CHPWOD</v>
          </cell>
          <cell r="C362" t="str">
            <v>VAR_fout</v>
          </cell>
          <cell r="D362" t="str">
            <v>LTH</v>
          </cell>
          <cell r="E362">
            <v>1.1197484512772371</v>
          </cell>
          <cell r="F362">
            <v>0.20659237565924665</v>
          </cell>
          <cell r="G362">
            <v>2.3721588235321666E-3</v>
          </cell>
          <cell r="H362">
            <v>2.6526524429998535</v>
          </cell>
          <cell r="I362">
            <v>4.1033453936614723</v>
          </cell>
          <cell r="J362">
            <v>5.1686225323231305</v>
          </cell>
        </row>
        <row r="363">
          <cell r="B363" t="str">
            <v>CHPWOD</v>
          </cell>
          <cell r="C363" t="str">
            <v>VAR_fin</v>
          </cell>
          <cell r="D363" t="str">
            <v>EWOD</v>
          </cell>
          <cell r="E363">
            <v>1.7555846116988079</v>
          </cell>
          <cell r="F363">
            <v>0.31586786352302698</v>
          </cell>
          <cell r="G363">
            <v>4.0935800039209576E-3</v>
          </cell>
          <cell r="H363">
            <v>3.6875466262566921</v>
          </cell>
          <cell r="I363">
            <v>5.1238641115395547</v>
          </cell>
          <cell r="J363">
            <v>6.4555569013344742</v>
          </cell>
        </row>
        <row r="364">
          <cell r="B364" t="str">
            <v>CHPWOD</v>
          </cell>
          <cell r="C364" t="str">
            <v>VAR_ncap</v>
          </cell>
          <cell r="D364" t="str">
            <v>-</v>
          </cell>
          <cell r="E364"/>
          <cell r="F364">
            <v>9.7164265503165395E-8</v>
          </cell>
          <cell r="G364">
            <v>9.6245020403154805E-7</v>
          </cell>
          <cell r="H364">
            <v>3.7676168134559401E-2</v>
          </cell>
          <cell r="I364">
            <v>8.1220650990695992E-3</v>
          </cell>
          <cell r="J364">
            <v>4.8530922314469899E-2</v>
          </cell>
        </row>
        <row r="365">
          <cell r="B365" t="str">
            <v>CHPWOD</v>
          </cell>
          <cell r="C365" t="str">
            <v>VAR_cap</v>
          </cell>
          <cell r="D365" t="str">
            <v>-</v>
          </cell>
          <cell r="E365">
            <v>1.5997974049053898E-2</v>
          </cell>
          <cell r="F365">
            <v>3.0461075953739022E-3</v>
          </cell>
          <cell r="G365">
            <v>1.6518185287434095E-4</v>
          </cell>
          <cell r="H365">
            <v>3.7840674225086302E-2</v>
          </cell>
          <cell r="I365">
            <v>5.8538202689941421E-2</v>
          </cell>
          <cell r="J365">
            <v>7.6578711544249237E-2</v>
          </cell>
        </row>
        <row r="366">
          <cell r="B366" t="str">
            <v>D-EH2R</v>
          </cell>
          <cell r="C366" t="str">
            <v>VAR_ncap</v>
          </cell>
          <cell r="D366" t="str">
            <v>-</v>
          </cell>
          <cell r="E366"/>
          <cell r="F366"/>
          <cell r="G366"/>
          <cell r="H366">
            <v>3.06439457720153E-7</v>
          </cell>
          <cell r="I366">
            <v>3.4015829366659502E-7</v>
          </cell>
          <cell r="J366">
            <v>2.5561748244061498E-7</v>
          </cell>
        </row>
        <row r="367">
          <cell r="B367" t="str">
            <v>D-EH2R</v>
          </cell>
          <cell r="C367" t="str">
            <v>VAR_cap</v>
          </cell>
          <cell r="D367" t="str">
            <v>-</v>
          </cell>
          <cell r="E367"/>
          <cell r="F367"/>
          <cell r="G367"/>
          <cell r="H367">
            <v>3.06439457720153E-7</v>
          </cell>
          <cell r="I367">
            <v>4.57865926901894E-7</v>
          </cell>
          <cell r="J367">
            <v>3.7212892527772601E-7</v>
          </cell>
        </row>
        <row r="368">
          <cell r="B368" t="str">
            <v>G-INTC1</v>
          </cell>
          <cell r="C368" t="str">
            <v>VAR_fout</v>
          </cell>
          <cell r="D368" t="str">
            <v>ELC13</v>
          </cell>
          <cell r="E368">
            <v>124.98914553065779</v>
          </cell>
          <cell r="F368">
            <v>139.73522354201089</v>
          </cell>
          <cell r="G368">
            <v>119.75461507703989</v>
          </cell>
          <cell r="H368">
            <v>129.6423404821177</v>
          </cell>
          <cell r="I368">
            <v>124.0626012355703</v>
          </cell>
          <cell r="J368">
            <v>94.006512298258855</v>
          </cell>
        </row>
        <row r="369">
          <cell r="B369" t="str">
            <v>G-INTC1</v>
          </cell>
          <cell r="C369" t="str">
            <v>VAR_fin</v>
          </cell>
          <cell r="D369" t="str">
            <v>ELC</v>
          </cell>
          <cell r="E369">
            <v>126.30541089383456</v>
          </cell>
          <cell r="F369">
            <v>143.35713746586254</v>
          </cell>
          <cell r="G369">
            <v>122.59193745738769</v>
          </cell>
          <cell r="H369">
            <v>132.23550997934001</v>
          </cell>
          <cell r="I369">
            <v>125.63833412784763</v>
          </cell>
          <cell r="J369">
            <v>94.523878997869375</v>
          </cell>
        </row>
        <row r="370">
          <cell r="B370" t="str">
            <v>G-INTC1</v>
          </cell>
          <cell r="C370" t="str">
            <v>VAR_ncap</v>
          </cell>
          <cell r="D370" t="str">
            <v>-</v>
          </cell>
          <cell r="E370">
            <v>1.4313518337435801E-7</v>
          </cell>
          <cell r="F370">
            <v>9.5471744822192205E-8</v>
          </cell>
          <cell r="G370">
            <v>1.08106131242835E-7</v>
          </cell>
          <cell r="H370">
            <v>1.3242807301947001E-7</v>
          </cell>
          <cell r="I370">
            <v>3.2593728812324899E-7</v>
          </cell>
          <cell r="J370">
            <v>1.03906259228872E-6</v>
          </cell>
        </row>
        <row r="371">
          <cell r="B371" t="str">
            <v>G-INTC1</v>
          </cell>
          <cell r="C371" t="str">
            <v>VAR_cap</v>
          </cell>
          <cell r="D371" t="str">
            <v>-</v>
          </cell>
          <cell r="E371">
            <v>15.305609183965201</v>
          </cell>
          <cell r="F371">
            <v>15.305609183965201</v>
          </cell>
          <cell r="G371">
            <v>15.305609183965201</v>
          </cell>
          <cell r="H371">
            <v>15.305609301621987</v>
          </cell>
          <cell r="I371">
            <v>15.305609663106333</v>
          </cell>
          <cell r="J371">
            <v>15.305610307493025</v>
          </cell>
        </row>
        <row r="372">
          <cell r="B372" t="str">
            <v>EHYD-RUNS00</v>
          </cell>
          <cell r="C372" t="str">
            <v>VAR_fout</v>
          </cell>
          <cell r="D372" t="str">
            <v>ELC35</v>
          </cell>
          <cell r="E372">
            <v>12.239999999999927</v>
          </cell>
          <cell r="F372">
            <v>12.241688623119478</v>
          </cell>
          <cell r="G372">
            <v>12.246565705408281</v>
          </cell>
          <cell r="H372">
            <v>12.254740705074681</v>
          </cell>
          <cell r="I372">
            <v>12.270979087827873</v>
          </cell>
          <cell r="J372">
            <v>12.287343973538734</v>
          </cell>
        </row>
        <row r="373">
          <cell r="B373" t="str">
            <v>EHYD-RUNS00</v>
          </cell>
          <cell r="C373" t="str">
            <v>VAR_fin</v>
          </cell>
          <cell r="D373" t="str">
            <v>HYDR</v>
          </cell>
          <cell r="E373">
            <v>12.239999999999927</v>
          </cell>
          <cell r="F373">
            <v>12.241688623119478</v>
          </cell>
          <cell r="G373">
            <v>12.246565705408281</v>
          </cell>
          <cell r="H373">
            <v>12.254740705074681</v>
          </cell>
          <cell r="I373">
            <v>12.270979087827873</v>
          </cell>
          <cell r="J373">
            <v>12.287343973538734</v>
          </cell>
        </row>
        <row r="374">
          <cell r="B374" t="str">
            <v>EHYD-RUNS00</v>
          </cell>
          <cell r="C374" t="str">
            <v>VAR_cap</v>
          </cell>
          <cell r="D374" t="str">
            <v>-</v>
          </cell>
          <cell r="E374">
            <v>0.85785999999999896</v>
          </cell>
          <cell r="F374">
            <v>0.88297936593724102</v>
          </cell>
          <cell r="G374">
            <v>0.89707999999999899</v>
          </cell>
          <cell r="H374">
            <v>0.89707999999999899</v>
          </cell>
          <cell r="I374">
            <v>0.89707999999999899</v>
          </cell>
          <cell r="J374">
            <v>0.89707999999999899</v>
          </cell>
        </row>
        <row r="375">
          <cell r="B375" t="str">
            <v>RHNS-SHSTG-CHPWOD</v>
          </cell>
          <cell r="C375" t="str">
            <v>VAR_fout</v>
          </cell>
          <cell r="D375" t="str">
            <v>AUX_RNS-CHPWOD_OUT</v>
          </cell>
          <cell r="E375">
            <v>5.2189493525917399E-4</v>
          </cell>
          <cell r="F375">
            <v>2.685126133748296E-4</v>
          </cell>
          <cell r="G375">
            <v>2.2913026627229864E-4</v>
          </cell>
          <cell r="H375">
            <v>1.2482539245322033E-3</v>
          </cell>
          <cell r="I375">
            <v>4.2331347732716554E-3</v>
          </cell>
          <cell r="J375">
            <v>4.1665795878980949E-3</v>
          </cell>
        </row>
        <row r="376">
          <cell r="B376" t="str">
            <v>RHNS-SHSTG-CHPWOD</v>
          </cell>
          <cell r="C376" t="str">
            <v>VAR_fout</v>
          </cell>
          <cell r="D376" t="str">
            <v>RHNS_LTH_CHPWOD</v>
          </cell>
          <cell r="E376">
            <v>5.2189493525917291E-4</v>
          </cell>
          <cell r="F376">
            <v>2.6869162178374563E-4</v>
          </cell>
          <cell r="G376">
            <v>2.2936894363299857E-4</v>
          </cell>
          <cell r="H376">
            <v>1.2482539245322033E-3</v>
          </cell>
          <cell r="I376">
            <v>4.2331347732716398E-3</v>
          </cell>
          <cell r="J376">
            <v>4.1665795878980897E-3</v>
          </cell>
        </row>
        <row r="377">
          <cell r="B377" t="str">
            <v>RHNS-SHSTG-CHPWOD</v>
          </cell>
          <cell r="C377" t="str">
            <v>VAR_fin</v>
          </cell>
          <cell r="D377" t="str">
            <v>AUX_RNS-CHPWOD_IN</v>
          </cell>
          <cell r="E377">
            <v>4.0840378239191357E-4</v>
          </cell>
          <cell r="F377">
            <v>1.659607592253419E-4</v>
          </cell>
          <cell r="G377">
            <v>1.8222565021748426E-4</v>
          </cell>
          <cell r="H377">
            <v>1.5636868445694934E-3</v>
          </cell>
          <cell r="I377">
            <v>4.9835271833288336E-3</v>
          </cell>
          <cell r="J377">
            <v>4.6329015019737491E-3</v>
          </cell>
        </row>
        <row r="378">
          <cell r="B378" t="str">
            <v>RHNS-SHSTG-CHPWOD</v>
          </cell>
          <cell r="C378" t="str">
            <v>VAR_fin</v>
          </cell>
          <cell r="D378" t="str">
            <v>RHNS_LTH_CHPWOD</v>
          </cell>
          <cell r="E378">
            <v>4.0840378239191357E-4</v>
          </cell>
          <cell r="F378">
            <v>1.659607592253419E-4</v>
          </cell>
          <cell r="G378">
            <v>1.8222565021748426E-4</v>
          </cell>
          <cell r="H378">
            <v>1.5636868445694934E-3</v>
          </cell>
          <cell r="I378">
            <v>4.9835271833288336E-3</v>
          </cell>
          <cell r="J378">
            <v>4.6329015019737491E-3</v>
          </cell>
        </row>
        <row r="379">
          <cell r="B379" t="str">
            <v>RHNS-SHSTG-CHPWOD</v>
          </cell>
          <cell r="C379" t="str">
            <v>VAR_ncap</v>
          </cell>
          <cell r="D379" t="str">
            <v>-</v>
          </cell>
          <cell r="E379">
            <v>1.2100828605730301E-3</v>
          </cell>
          <cell r="F379">
            <v>2.6864528260148999E-5</v>
          </cell>
          <cell r="G379">
            <v>4.0387544701663797E-5</v>
          </cell>
          <cell r="H379">
            <v>3.3796655184357803E-5</v>
          </cell>
          <cell r="I379">
            <v>9.5474649224664007E-5</v>
          </cell>
          <cell r="J379">
            <v>2.2002474260484099E-4</v>
          </cell>
        </row>
        <row r="380">
          <cell r="B380" t="str">
            <v>RHNS-SHSTG-CHPWOD</v>
          </cell>
          <cell r="C380" t="str">
            <v>VAR_cap</v>
          </cell>
          <cell r="D380" t="str">
            <v>-</v>
          </cell>
          <cell r="E380">
            <v>1.2100828605730301E-3</v>
          </cell>
          <cell r="F380">
            <v>1.2334714837743406E-3</v>
          </cell>
          <cell r="G380">
            <v>1.2637213149863291E-3</v>
          </cell>
          <cell r="H380">
            <v>1.2834052821002317E-3</v>
          </cell>
          <cell r="I380">
            <v>1.6679836667795151E-3</v>
          </cell>
          <cell r="J380">
            <v>9.3974523977669467E-4</v>
          </cell>
        </row>
        <row r="381">
          <cell r="B381" t="str">
            <v>HPLOIL</v>
          </cell>
          <cell r="C381" t="str">
            <v>VAR_fout</v>
          </cell>
          <cell r="D381" t="str">
            <v>LTH</v>
          </cell>
          <cell r="E381">
            <v>0.18409027775169159</v>
          </cell>
          <cell r="F381">
            <v>0.18580257000482386</v>
          </cell>
          <cell r="G381">
            <v>1.1793179539563382E-3</v>
          </cell>
          <cell r="H381">
            <v>5.3135706861661325E-4</v>
          </cell>
          <cell r="I381">
            <v>2.5130082141975132E-4</v>
          </cell>
          <cell r="J381">
            <v>1.8199893942512366E-4</v>
          </cell>
        </row>
        <row r="382">
          <cell r="B382" t="str">
            <v>HPLOIL</v>
          </cell>
          <cell r="C382" t="str">
            <v>VAR_fout</v>
          </cell>
          <cell r="D382" t="str">
            <v>CO2_E</v>
          </cell>
          <cell r="E382">
            <v>15.878487800842199</v>
          </cell>
          <cell r="F382">
            <v>16.026179531143701</v>
          </cell>
          <cell r="G382">
            <v>0.10172066647902001</v>
          </cell>
          <cell r="H382">
            <v>4.5831571525469302E-2</v>
          </cell>
          <cell r="I382">
            <v>2.1675653250072199E-2</v>
          </cell>
          <cell r="J382">
            <v>1.5698101902622E-2</v>
          </cell>
        </row>
        <row r="383">
          <cell r="B383" t="str">
            <v>HPLOIL</v>
          </cell>
          <cell r="C383" t="str">
            <v>VAR_fin</v>
          </cell>
          <cell r="D383" t="str">
            <v>ELFO</v>
          </cell>
          <cell r="E383">
            <v>0.2154475956695007</v>
          </cell>
          <cell r="F383">
            <v>0.21745155401823268</v>
          </cell>
          <cell r="G383">
            <v>1.3801990024290313E-3</v>
          </cell>
          <cell r="H383">
            <v>6.2186664213662653E-4</v>
          </cell>
          <cell r="I383">
            <v>2.9410655698876824E-4</v>
          </cell>
          <cell r="J383">
            <v>2.1300002581576687E-4</v>
          </cell>
        </row>
        <row r="384">
          <cell r="B384" t="str">
            <v>HPLOIL</v>
          </cell>
          <cell r="C384" t="str">
            <v>VAR_ncap</v>
          </cell>
          <cell r="D384" t="str">
            <v>-</v>
          </cell>
          <cell r="E384">
            <v>1.1666070489693001E-5</v>
          </cell>
          <cell r="F384">
            <v>7.0593624014700296E-6</v>
          </cell>
          <cell r="G384">
            <v>5.7950632171935001E-6</v>
          </cell>
          <cell r="H384">
            <v>6.7363854974812399E-6</v>
          </cell>
          <cell r="I384">
            <v>1.13445076611981E-5</v>
          </cell>
          <cell r="J384">
            <v>9.8096140864065493E-6</v>
          </cell>
        </row>
        <row r="385">
          <cell r="B385" t="str">
            <v>HPLOIL</v>
          </cell>
          <cell r="C385" t="str">
            <v>VAR_cap</v>
          </cell>
          <cell r="D385" t="str">
            <v>-</v>
          </cell>
          <cell r="E385">
            <v>2.505319440529849E-2</v>
          </cell>
          <cell r="F385">
            <v>2.3698302989254665E-2</v>
          </cell>
          <cell r="G385">
            <v>2.2590208698067549E-3</v>
          </cell>
          <cell r="H385">
            <v>9.527929909751362E-4</v>
          </cell>
          <cell r="I385">
            <v>3.6929851662943422E-4</v>
          </cell>
          <cell r="J385">
            <v>2.9643346433401853E-4</v>
          </cell>
        </row>
        <row r="386">
          <cell r="B386" t="str">
            <v>V2G</v>
          </cell>
          <cell r="C386" t="str">
            <v>VAR_fout</v>
          </cell>
          <cell r="D386" t="str">
            <v>ELC35</v>
          </cell>
          <cell r="E386"/>
          <cell r="F386"/>
          <cell r="G386"/>
          <cell r="H386">
            <v>5.7714930145061807E-2</v>
          </cell>
          <cell r="I386">
            <v>0.3465241817986921</v>
          </cell>
          <cell r="J386">
            <v>1.1013352287951115</v>
          </cell>
        </row>
        <row r="387">
          <cell r="B387" t="str">
            <v>V2G</v>
          </cell>
          <cell r="C387" t="str">
            <v>VAR_fin</v>
          </cell>
          <cell r="D387" t="str">
            <v>T-ELC-Bus_c_BatSTGout_S1</v>
          </cell>
          <cell r="E387"/>
          <cell r="F387"/>
          <cell r="G387"/>
          <cell r="H387">
            <v>1.5176314170417191E-3</v>
          </cell>
          <cell r="I387">
            <v>3.777045710833074E-3</v>
          </cell>
          <cell r="J387">
            <v>2.1461069445533653E-3</v>
          </cell>
        </row>
        <row r="388">
          <cell r="B388" t="str">
            <v>V2G</v>
          </cell>
          <cell r="C388" t="str">
            <v>VAR_fin</v>
          </cell>
          <cell r="D388" t="str">
            <v>T-ELC-Bus_c_BatSTGout_S2</v>
          </cell>
          <cell r="E388"/>
          <cell r="F388"/>
          <cell r="G388"/>
          <cell r="H388">
            <v>1.266382566346168E-3</v>
          </cell>
          <cell r="I388">
            <v>2.5625148657100289E-3</v>
          </cell>
          <cell r="J388">
            <v>1.5869121511069787E-3</v>
          </cell>
        </row>
        <row r="389">
          <cell r="B389" t="str">
            <v>V2G</v>
          </cell>
          <cell r="C389" t="str">
            <v>VAR_fin</v>
          </cell>
          <cell r="D389" t="str">
            <v>T-ELC-Bus_c_BatSTGout_S3</v>
          </cell>
          <cell r="E389"/>
          <cell r="F389"/>
          <cell r="G389"/>
          <cell r="H389">
            <v>2.7614065452474752E-4</v>
          </cell>
          <cell r="I389">
            <v>2.2037935921074964E-4</v>
          </cell>
          <cell r="J389">
            <v>1.9987031560653789E-4</v>
          </cell>
        </row>
        <row r="390">
          <cell r="B390" t="str">
            <v>V2G</v>
          </cell>
          <cell r="C390" t="str">
            <v>VAR_fin</v>
          </cell>
          <cell r="D390" t="str">
            <v>T-ELC-Bus_c_BatSTGout_S4</v>
          </cell>
          <cell r="E390"/>
          <cell r="F390"/>
          <cell r="G390"/>
          <cell r="H390">
            <v>2.7027175791846496E-4</v>
          </cell>
          <cell r="I390">
            <v>3.473538151105272E-4</v>
          </cell>
          <cell r="J390">
            <v>2.0080962586435384E-4</v>
          </cell>
        </row>
        <row r="391">
          <cell r="B391" t="str">
            <v>V2G</v>
          </cell>
          <cell r="C391" t="str">
            <v>VAR_fin</v>
          </cell>
          <cell r="D391" t="str">
            <v>T-ELC-car-BatSTGOut_S1</v>
          </cell>
          <cell r="E391"/>
          <cell r="F391"/>
          <cell r="G391"/>
          <cell r="H391">
            <v>1.4202874786230541E-2</v>
          </cell>
          <cell r="I391">
            <v>0.10468375486337825</v>
          </cell>
          <cell r="J391">
            <v>0.23244300801184659</v>
          </cell>
        </row>
        <row r="392">
          <cell r="B392" t="str">
            <v>V2G</v>
          </cell>
          <cell r="C392" t="str">
            <v>VAR_fin</v>
          </cell>
          <cell r="D392" t="str">
            <v>T-ELC-car-BatSTGOut_S2</v>
          </cell>
          <cell r="E392"/>
          <cell r="F392"/>
          <cell r="G392"/>
          <cell r="H392">
            <v>4.8021230522368279E-3</v>
          </cell>
          <cell r="I392">
            <v>4.953607068348815E-2</v>
          </cell>
          <cell r="J392">
            <v>0.15754960484514238</v>
          </cell>
        </row>
        <row r="393">
          <cell r="B393" t="str">
            <v>V2G</v>
          </cell>
          <cell r="C393" t="str">
            <v>VAR_fin</v>
          </cell>
          <cell r="D393" t="str">
            <v>T-ELC-car-BatSTGOut_S3</v>
          </cell>
          <cell r="E393"/>
          <cell r="F393"/>
          <cell r="G393"/>
          <cell r="H393">
            <v>5.7141156118098819E-3</v>
          </cell>
          <cell r="I393">
            <v>5.162114028074128E-2</v>
          </cell>
          <cell r="J393">
            <v>0.20467828916679626</v>
          </cell>
        </row>
        <row r="394">
          <cell r="B394" t="str">
            <v>V2G</v>
          </cell>
          <cell r="C394" t="str">
            <v>VAR_fin</v>
          </cell>
          <cell r="D394" t="str">
            <v>T-ELC-car-BatSTGOut_S4</v>
          </cell>
          <cell r="E394"/>
          <cell r="F394"/>
          <cell r="G394"/>
          <cell r="H394">
            <v>5.7344731429822453E-3</v>
          </cell>
          <cell r="I394">
            <v>5.46985113662782E-2</v>
          </cell>
          <cell r="J394">
            <v>0.16202921105803053</v>
          </cell>
        </row>
        <row r="395">
          <cell r="B395" t="str">
            <v>V2G</v>
          </cell>
          <cell r="C395" t="str">
            <v>VAR_fin</v>
          </cell>
          <cell r="D395" t="str">
            <v>T-ELC-car-PlgSTGOut_S1</v>
          </cell>
          <cell r="E395"/>
          <cell r="F395"/>
          <cell r="G395"/>
          <cell r="H395">
            <v>3.7477721866063633E-4</v>
          </cell>
          <cell r="I395">
            <v>1.1257352568489389E-3</v>
          </cell>
          <cell r="J395">
            <v>1.0582160594711722E-3</v>
          </cell>
        </row>
        <row r="396">
          <cell r="B396" t="str">
            <v>V2G</v>
          </cell>
          <cell r="C396" t="str">
            <v>VAR_fin</v>
          </cell>
          <cell r="D396" t="str">
            <v>T-ELC-car-PlgSTGOut_S2</v>
          </cell>
          <cell r="E396"/>
          <cell r="F396"/>
          <cell r="G396"/>
          <cell r="H396">
            <v>1.5924052620402859E-4</v>
          </cell>
          <cell r="I396">
            <v>1.2310905005765882E-3</v>
          </cell>
          <cell r="J396">
            <v>1.147222089772817E-3</v>
          </cell>
        </row>
        <row r="397">
          <cell r="B397" t="str">
            <v>V2G</v>
          </cell>
          <cell r="C397" t="str">
            <v>VAR_fin</v>
          </cell>
          <cell r="D397" t="str">
            <v>T-ELC-car-PlgSTGOut_S3</v>
          </cell>
          <cell r="E397"/>
          <cell r="F397"/>
          <cell r="G397"/>
          <cell r="H397">
            <v>9.1717205828590817E-3</v>
          </cell>
          <cell r="I397">
            <v>4.9932472124091798E-2</v>
          </cell>
          <cell r="J397">
            <v>0.31774808927867265</v>
          </cell>
        </row>
        <row r="398">
          <cell r="B398" t="str">
            <v>V2G</v>
          </cell>
          <cell r="C398" t="str">
            <v>VAR_fin</v>
          </cell>
          <cell r="D398" t="str">
            <v>T-ELC-TWSTGout_S1</v>
          </cell>
          <cell r="E398"/>
          <cell r="F398"/>
          <cell r="G398"/>
          <cell r="H398">
            <v>2.1686129793931329E-3</v>
          </cell>
          <cell r="I398">
            <v>3.1459566271205852E-3</v>
          </cell>
          <cell r="J398">
            <v>2.4879645228193131E-3</v>
          </cell>
        </row>
        <row r="399">
          <cell r="B399" t="str">
            <v>V2G</v>
          </cell>
          <cell r="C399" t="str">
            <v>VAR_fin</v>
          </cell>
          <cell r="D399" t="str">
            <v>T-ELC-car-PlgSTGOut_S4</v>
          </cell>
          <cell r="E399"/>
          <cell r="F399"/>
          <cell r="G399"/>
          <cell r="H399">
            <v>1.1245538669653324E-4</v>
          </cell>
          <cell r="I399">
            <v>2.5475703687279278E-3</v>
          </cell>
          <cell r="J399">
            <v>3.2613576628223039E-3</v>
          </cell>
        </row>
        <row r="400">
          <cell r="B400" t="str">
            <v>V2G</v>
          </cell>
          <cell r="C400" t="str">
            <v>VAR_fin</v>
          </cell>
          <cell r="D400" t="str">
            <v>T-ELC-TWSTGout_S2</v>
          </cell>
          <cell r="E400"/>
          <cell r="F400"/>
          <cell r="G400"/>
          <cell r="H400">
            <v>2.9828879705981973E-3</v>
          </cell>
          <cell r="I400">
            <v>3.9228150168152268E-3</v>
          </cell>
          <cell r="J400">
            <v>2.795155613444076E-3</v>
          </cell>
        </row>
        <row r="401">
          <cell r="B401" t="str">
            <v>V2G</v>
          </cell>
          <cell r="C401" t="str">
            <v>VAR_fin</v>
          </cell>
          <cell r="D401" t="str">
            <v>T-ELC-TWSTGout_S3</v>
          </cell>
          <cell r="E401"/>
          <cell r="F401"/>
          <cell r="G401"/>
          <cell r="H401">
            <v>3.6385882895287958E-3</v>
          </cell>
          <cell r="I401">
            <v>7.1349281517315627E-3</v>
          </cell>
          <cell r="J401">
            <v>4.213778334000772E-3</v>
          </cell>
        </row>
        <row r="402">
          <cell r="B402" t="str">
            <v>V2G</v>
          </cell>
          <cell r="C402" t="str">
            <v>VAR_fin</v>
          </cell>
          <cell r="D402" t="str">
            <v>T-ELC-TWSTGout_S4</v>
          </cell>
          <cell r="E402"/>
          <cell r="F402"/>
          <cell r="G402"/>
          <cell r="H402">
            <v>3.7608029434830778E-3</v>
          </cell>
          <cell r="I402">
            <v>7.9972934826435613E-3</v>
          </cell>
          <cell r="J402">
            <v>6.5484928224712729E-3</v>
          </cell>
        </row>
        <row r="403">
          <cell r="B403" t="str">
            <v>V2G</v>
          </cell>
          <cell r="C403" t="str">
            <v>VAR_fin</v>
          </cell>
          <cell r="D403" t="str">
            <v>T-ELC-Bus_u_BatSTGout_S1</v>
          </cell>
          <cell r="E403"/>
          <cell r="F403"/>
          <cell r="G403"/>
          <cell r="H403">
            <v>1.2879408823529055E-4</v>
          </cell>
          <cell r="I403">
            <v>1.7954805748609065E-4</v>
          </cell>
          <cell r="J403">
            <v>1.4365987708763568E-4</v>
          </cell>
        </row>
        <row r="404">
          <cell r="B404" t="str">
            <v>V2G</v>
          </cell>
          <cell r="C404" t="str">
            <v>VAR_fin</v>
          </cell>
          <cell r="D404" t="str">
            <v>T-ELC-Bus_u_BatSTGout_S2</v>
          </cell>
          <cell r="E404"/>
          <cell r="F404"/>
          <cell r="G404"/>
          <cell r="H404">
            <v>1.1174740675476066E-4</v>
          </cell>
          <cell r="I404">
            <v>1.6226249543019653E-4</v>
          </cell>
          <cell r="J404">
            <v>1.2927253243313972E-4</v>
          </cell>
        </row>
        <row r="405">
          <cell r="B405" t="str">
            <v>V2G</v>
          </cell>
          <cell r="C405" t="str">
            <v>VAR_fin</v>
          </cell>
          <cell r="D405" t="str">
            <v>T-ELC-Bus_u_BatSTGout_S3</v>
          </cell>
          <cell r="E405"/>
          <cell r="F405"/>
          <cell r="G405"/>
          <cell r="H405">
            <v>5.8912530166840382E-5</v>
          </cell>
          <cell r="I405">
            <v>8.1080920519554709E-5</v>
          </cell>
          <cell r="J405">
            <v>7.0433453550584074E-5</v>
          </cell>
        </row>
        <row r="406">
          <cell r="B406" t="str">
            <v>V2G</v>
          </cell>
          <cell r="C406" t="str">
            <v>VAR_fin</v>
          </cell>
          <cell r="D406" t="str">
            <v>T-ELC-Bus_u_BatSTGout_S4</v>
          </cell>
          <cell r="E406"/>
          <cell r="F406"/>
          <cell r="G406"/>
          <cell r="H406">
            <v>1.43299894572968E-4</v>
          </cell>
          <cell r="I406">
            <v>1.9761054497115517E-4</v>
          </cell>
          <cell r="J406">
            <v>1.4779189432612429E-4</v>
          </cell>
        </row>
        <row r="407">
          <cell r="B407" t="str">
            <v>V2G</v>
          </cell>
          <cell r="C407" t="str">
            <v>VAR_fin</v>
          </cell>
          <cell r="D407" t="str">
            <v>T-ELC-LGV_BatSTGout</v>
          </cell>
          <cell r="E407"/>
          <cell r="F407"/>
          <cell r="G407"/>
          <cell r="H407">
            <v>6.4423903371368192E-4</v>
          </cell>
          <cell r="I407">
            <v>5.433374348445026E-4</v>
          </cell>
          <cell r="J407">
            <v>3.5241843204021758E-4</v>
          </cell>
        </row>
        <row r="408">
          <cell r="B408" t="str">
            <v>V2G</v>
          </cell>
          <cell r="C408" t="str">
            <v>VAR_fin</v>
          </cell>
          <cell r="D408" t="str">
            <v>T-ELC-HGV_BatSTGout</v>
          </cell>
          <cell r="E408"/>
          <cell r="F408"/>
          <cell r="G408"/>
          <cell r="H408">
            <v>6.1395462517897478E-4</v>
          </cell>
          <cell r="I408">
            <v>1.0098124868164417E-3</v>
          </cell>
          <cell r="J408">
            <v>5.1019357737414495E-4</v>
          </cell>
        </row>
        <row r="409">
          <cell r="B409" t="str">
            <v>V2G</v>
          </cell>
          <cell r="C409" t="str">
            <v>VAR_ncap</v>
          </cell>
          <cell r="D409" t="str">
            <v>-</v>
          </cell>
          <cell r="E409"/>
          <cell r="F409"/>
          <cell r="G409"/>
          <cell r="H409">
            <v>6.0945265292778198E-3</v>
          </cell>
          <cell r="I409">
            <v>0.37022667957576899</v>
          </cell>
          <cell r="J409">
            <v>1.28376637690791</v>
          </cell>
        </row>
        <row r="410">
          <cell r="B410" t="str">
            <v>V2G</v>
          </cell>
          <cell r="C410" t="str">
            <v>VAR_cap</v>
          </cell>
          <cell r="D410" t="str">
            <v>-</v>
          </cell>
          <cell r="E410"/>
          <cell r="F410"/>
          <cell r="G410"/>
          <cell r="H410">
            <v>6.0945265292778198E-3</v>
          </cell>
          <cell r="I410">
            <v>0.50242902596122752</v>
          </cell>
          <cell r="J410">
            <v>1.6066126556576246</v>
          </cell>
        </row>
        <row r="411">
          <cell r="B411" t="str">
            <v>D-EBIO</v>
          </cell>
          <cell r="C411" t="str">
            <v>VAR_fout</v>
          </cell>
          <cell r="D411" t="str">
            <v>EBIO</v>
          </cell>
          <cell r="E411">
            <v>1.1839665703967057</v>
          </cell>
          <cell r="F411">
            <v>1.1839569486079131</v>
          </cell>
          <cell r="G411">
            <v>1.1839595869334933</v>
          </cell>
          <cell r="H411">
            <v>1.1839539067264768</v>
          </cell>
          <cell r="I411">
            <v>1.1839592016358964</v>
          </cell>
          <cell r="J411">
            <v>1.183962554227467</v>
          </cell>
        </row>
        <row r="412">
          <cell r="B412" t="str">
            <v>D-EBIO</v>
          </cell>
          <cell r="C412" t="str">
            <v>VAR_fin</v>
          </cell>
          <cell r="D412" t="str">
            <v>BIO</v>
          </cell>
          <cell r="E412">
            <v>1.1839665703967057</v>
          </cell>
          <cell r="F412">
            <v>1.1839569486079131</v>
          </cell>
          <cell r="G412">
            <v>1.1839595869334933</v>
          </cell>
          <cell r="H412">
            <v>1.1839539067264768</v>
          </cell>
          <cell r="I412">
            <v>1.1839592016358964</v>
          </cell>
          <cell r="J412">
            <v>1.183962554227467</v>
          </cell>
        </row>
        <row r="413">
          <cell r="B413" t="str">
            <v>G-INTC3</v>
          </cell>
          <cell r="C413" t="str">
            <v>VAR_fout</v>
          </cell>
          <cell r="D413" t="str">
            <v>ELC35</v>
          </cell>
          <cell r="E413">
            <v>143.89732244525433</v>
          </cell>
          <cell r="F413">
            <v>105.36426933731616</v>
          </cell>
          <cell r="G413">
            <v>97.315207077963251</v>
          </cell>
          <cell r="H413">
            <v>134.13960114611078</v>
          </cell>
          <cell r="I413">
            <v>138.35885518900267</v>
          </cell>
          <cell r="J413">
            <v>117.12084369447587</v>
          </cell>
        </row>
        <row r="414">
          <cell r="B414" t="str">
            <v>G-INTC3</v>
          </cell>
          <cell r="C414" t="str">
            <v>VAR_fout</v>
          </cell>
          <cell r="D414" t="str">
            <v>ELC3</v>
          </cell>
          <cell r="E414">
            <v>31.831458972922505</v>
          </cell>
          <cell r="F414">
            <v>69.640219187748386</v>
          </cell>
          <cell r="G414">
            <v>68.457557721823179</v>
          </cell>
          <cell r="H414">
            <v>41.038313436384065</v>
          </cell>
          <cell r="I414">
            <v>31.184398120015572</v>
          </cell>
          <cell r="J414">
            <v>28.173388301880411</v>
          </cell>
        </row>
        <row r="415">
          <cell r="B415" t="str">
            <v>G-INTC3</v>
          </cell>
          <cell r="C415" t="str">
            <v>VAR_fout</v>
          </cell>
          <cell r="D415" t="str">
            <v>ELC</v>
          </cell>
          <cell r="E415">
            <v>2.0210893748598951E-2</v>
          </cell>
          <cell r="F415">
            <v>2.1748072663670672E-3</v>
          </cell>
          <cell r="G415">
            <v>4.2255289093568816E-3</v>
          </cell>
          <cell r="H415">
            <v>1.4815070764032227E-3</v>
          </cell>
          <cell r="I415">
            <v>1.9467177751603343E-3</v>
          </cell>
          <cell r="J415">
            <v>1.4487734139888733E-3</v>
          </cell>
        </row>
        <row r="416">
          <cell r="B416" t="str">
            <v>G-INTC3</v>
          </cell>
          <cell r="C416" t="str">
            <v>VAR_fin</v>
          </cell>
          <cell r="D416" t="str">
            <v>ELC13</v>
          </cell>
          <cell r="E416">
            <v>179.43072251064785</v>
          </cell>
          <cell r="F416">
            <v>183.25420565205181</v>
          </cell>
          <cell r="G416">
            <v>173.01917576800611</v>
          </cell>
          <cell r="H416">
            <v>181.83652309159186</v>
          </cell>
          <cell r="I416">
            <v>174.09175101867609</v>
          </cell>
          <cell r="J416">
            <v>147.60145572573902</v>
          </cell>
        </row>
        <row r="417">
          <cell r="B417" t="str">
            <v>G-INTC3</v>
          </cell>
          <cell r="C417" t="str">
            <v>VAR_ncap</v>
          </cell>
          <cell r="D417" t="str">
            <v>-</v>
          </cell>
          <cell r="E417">
            <v>1.3830884086611199E-7</v>
          </cell>
          <cell r="F417">
            <v>1.46743320195726E-7</v>
          </cell>
          <cell r="G417">
            <v>1.5101027459203099E-7</v>
          </cell>
          <cell r="H417">
            <v>1.8131424725749299E-7</v>
          </cell>
          <cell r="I417">
            <v>4.4494418067274198E-7</v>
          </cell>
          <cell r="J417">
            <v>1.4136303569355101E-6</v>
          </cell>
        </row>
        <row r="418">
          <cell r="B418" t="str">
            <v>G-INTC3</v>
          </cell>
          <cell r="C418" t="str">
            <v>VAR_cap</v>
          </cell>
          <cell r="D418" t="str">
            <v>-</v>
          </cell>
          <cell r="E418">
            <v>13.914190167241101</v>
          </cell>
          <cell r="F418">
            <v>13.914190167241101</v>
          </cell>
          <cell r="G418">
            <v>13.914190167241101</v>
          </cell>
          <cell r="H418">
            <v>13.914190303135971</v>
          </cell>
          <cell r="I418">
            <v>13.914190784617784</v>
          </cell>
          <cell r="J418">
            <v>13.914191659762329</v>
          </cell>
        </row>
        <row r="419">
          <cell r="B419" t="str">
            <v>HPLBIO</v>
          </cell>
          <cell r="C419" t="str">
            <v>VAR_fout</v>
          </cell>
          <cell r="D419" t="str">
            <v>LTH</v>
          </cell>
          <cell r="E419">
            <v>0.90178691719900905</v>
          </cell>
          <cell r="F419">
            <v>0.90177958861096252</v>
          </cell>
          <cell r="G419">
            <v>0.90178159813348824</v>
          </cell>
          <cell r="H419">
            <v>0.9017772717137198</v>
          </cell>
          <cell r="I419">
            <v>0.90178130466546236</v>
          </cell>
          <cell r="J419">
            <v>0.90178385822000784</v>
          </cell>
        </row>
        <row r="420">
          <cell r="B420" t="str">
            <v>HPLBIO</v>
          </cell>
          <cell r="C420" t="str">
            <v>VAR_fin</v>
          </cell>
          <cell r="D420" t="str">
            <v>EBIO</v>
          </cell>
          <cell r="E420">
            <v>1.1839665703967057</v>
          </cell>
          <cell r="F420">
            <v>1.1839569486079131</v>
          </cell>
          <cell r="G420">
            <v>1.1839595869334933</v>
          </cell>
          <cell r="H420">
            <v>1.1839539067264768</v>
          </cell>
          <cell r="I420">
            <v>1.1839592016358964</v>
          </cell>
          <cell r="J420">
            <v>1.183962554227467</v>
          </cell>
        </row>
        <row r="421">
          <cell r="B421" t="str">
            <v>HPLBIO</v>
          </cell>
          <cell r="C421" t="str">
            <v>VAR_ncap</v>
          </cell>
          <cell r="D421" t="str">
            <v>-</v>
          </cell>
          <cell r="E421">
            <v>1.8717245628752402E-5</v>
          </cell>
          <cell r="F421">
            <v>1.12358651345006E-5</v>
          </cell>
          <cell r="G421">
            <v>8.9768428450660504E-6</v>
          </cell>
          <cell r="H421">
            <v>6.2909861167622094E-2</v>
          </cell>
          <cell r="I421">
            <v>1.8263349670483599E-5</v>
          </cell>
          <cell r="J421">
            <v>5.7014166471488603E-2</v>
          </cell>
        </row>
        <row r="422">
          <cell r="B422" t="str">
            <v>HPLBIO</v>
          </cell>
          <cell r="C422" t="str">
            <v>VAR_cap</v>
          </cell>
          <cell r="D422" t="str">
            <v>-</v>
          </cell>
          <cell r="E422">
            <v>0.11439588385894786</v>
          </cell>
          <cell r="F422">
            <v>0.11440223151413829</v>
          </cell>
          <cell r="G422">
            <v>0.11440643834497138</v>
          </cell>
          <cell r="H422">
            <v>0.11438325348347458</v>
          </cell>
          <cell r="I422">
            <v>0.114387498158144</v>
          </cell>
          <cell r="J422">
            <v>0.11438590483570978</v>
          </cell>
        </row>
        <row r="423">
          <cell r="B423" t="str">
            <v>CHPGFC</v>
          </cell>
          <cell r="C423" t="str">
            <v>VAR_fout</v>
          </cell>
          <cell r="D423" t="str">
            <v>ELC35</v>
          </cell>
          <cell r="E423"/>
          <cell r="F423"/>
          <cell r="G423"/>
          <cell r="H423"/>
          <cell r="I423">
            <v>0.41564401414132779</v>
          </cell>
          <cell r="J423">
            <v>2.1038710448974656</v>
          </cell>
        </row>
        <row r="424">
          <cell r="B424" t="str">
            <v>CHPGFC</v>
          </cell>
          <cell r="C424" t="str">
            <v>VAR_fout</v>
          </cell>
          <cell r="D424" t="str">
            <v>LTH</v>
          </cell>
          <cell r="E424"/>
          <cell r="F424"/>
          <cell r="G424"/>
          <cell r="H424"/>
          <cell r="I424">
            <v>0.52994611803019287</v>
          </cell>
          <cell r="J424">
            <v>2.7876291344891406</v>
          </cell>
        </row>
        <row r="425">
          <cell r="B425" t="str">
            <v>CHPGFC</v>
          </cell>
          <cell r="C425" t="str">
            <v>VAR_fout</v>
          </cell>
          <cell r="D425" t="str">
            <v>CO2_E</v>
          </cell>
          <cell r="E425"/>
          <cell r="F425"/>
          <cell r="G425"/>
          <cell r="H425"/>
          <cell r="I425">
            <v>58.605805993927198</v>
          </cell>
          <cell r="J425">
            <v>296.64581733054303</v>
          </cell>
        </row>
        <row r="426">
          <cell r="B426" t="str">
            <v>CHPGFC</v>
          </cell>
          <cell r="C426" t="str">
            <v>VAR_fin</v>
          </cell>
          <cell r="D426" t="str">
            <v>ENGA</v>
          </cell>
          <cell r="E426"/>
          <cell r="F426"/>
          <cell r="G426"/>
          <cell r="H426"/>
          <cell r="I426">
            <v>1.0391100353533191</v>
          </cell>
          <cell r="J426">
            <v>5.2596776122436593</v>
          </cell>
        </row>
        <row r="427">
          <cell r="B427" t="str">
            <v>CHPGFC</v>
          </cell>
          <cell r="C427" t="str">
            <v>VAR_ncap</v>
          </cell>
          <cell r="D427" t="str">
            <v>-</v>
          </cell>
          <cell r="E427"/>
          <cell r="F427"/>
          <cell r="G427"/>
          <cell r="H427"/>
          <cell r="I427">
            <v>1.5507023438008799E-2</v>
          </cell>
          <cell r="J427">
            <v>6.2983905614890895E-2</v>
          </cell>
        </row>
        <row r="428">
          <cell r="B428" t="str">
            <v>CHPGFC</v>
          </cell>
          <cell r="C428" t="str">
            <v>VAR_cap</v>
          </cell>
          <cell r="D428" t="str">
            <v>-</v>
          </cell>
          <cell r="E428"/>
          <cell r="F428"/>
          <cell r="G428"/>
          <cell r="H428"/>
          <cell r="I428">
            <v>1.5507023438008799E-2</v>
          </cell>
          <cell r="J428">
            <v>7.8490861602357465E-2</v>
          </cell>
        </row>
        <row r="429">
          <cell r="B429" t="str">
            <v>G-INTC5</v>
          </cell>
          <cell r="C429" t="str">
            <v>VAR_fout</v>
          </cell>
          <cell r="D429" t="str">
            <v>ELC5</v>
          </cell>
          <cell r="E429">
            <v>260.30821869951308</v>
          </cell>
          <cell r="F429">
            <v>120.10751859911997</v>
          </cell>
          <cell r="G429">
            <v>111.35561948381401</v>
          </cell>
          <cell r="H429">
            <v>149.89286727934243</v>
          </cell>
          <cell r="I429">
            <v>156.79628160845175</v>
          </cell>
          <cell r="J429">
            <v>146.68534063628516</v>
          </cell>
        </row>
        <row r="430">
          <cell r="B430" t="str">
            <v>G-INTC5</v>
          </cell>
          <cell r="C430" t="str">
            <v>VAR_fout</v>
          </cell>
          <cell r="D430" t="str">
            <v>ELC13</v>
          </cell>
          <cell r="E430">
            <v>8.6491130944112898E-2</v>
          </cell>
          <cell r="F430">
            <v>1.8249992094932035E-3</v>
          </cell>
          <cell r="G430">
            <v>4.1469197499577719E-3</v>
          </cell>
          <cell r="H430">
            <v>1.2337428602805186E-3</v>
          </cell>
          <cell r="I430">
            <v>1.5791641753510658E-3</v>
          </cell>
          <cell r="J430">
            <v>1.1124516406904963E-3</v>
          </cell>
        </row>
        <row r="431">
          <cell r="B431" t="str">
            <v>G-INTC5</v>
          </cell>
          <cell r="C431" t="str">
            <v>VAR_fin</v>
          </cell>
          <cell r="D431" t="str">
            <v>ELC35</v>
          </cell>
          <cell r="E431">
            <v>268.61895575744762</v>
          </cell>
          <cell r="F431">
            <v>125.78969208310464</v>
          </cell>
          <cell r="G431">
            <v>116.37315032891692</v>
          </cell>
          <cell r="H431">
            <v>156.07761355761949</v>
          </cell>
          <cell r="I431">
            <v>162.09747966589285</v>
          </cell>
          <cell r="J431">
            <v>150.56653123526937</v>
          </cell>
        </row>
        <row r="432">
          <cell r="B432" t="str">
            <v>G-INTC5</v>
          </cell>
          <cell r="C432" t="str">
            <v>VAR_ncap</v>
          </cell>
          <cell r="D432" t="str">
            <v>-</v>
          </cell>
          <cell r="E432">
            <v>5.6175824595645902E-7</v>
          </cell>
          <cell r="F432">
            <v>6.9785473861279705E-7</v>
          </cell>
          <cell r="G432">
            <v>6.6991297073895702E-7</v>
          </cell>
          <cell r="H432">
            <v>7.6114213475181295E-7</v>
          </cell>
          <cell r="I432">
            <v>1.88689114570781E-6</v>
          </cell>
          <cell r="J432">
            <v>5.8738631349958703E-6</v>
          </cell>
        </row>
        <row r="433">
          <cell r="B433" t="str">
            <v>G-INTC5</v>
          </cell>
          <cell r="C433" t="str">
            <v>VAR_cap</v>
          </cell>
          <cell r="D433" t="str">
            <v>-</v>
          </cell>
          <cell r="E433">
            <v>12.649263788401001</v>
          </cell>
          <cell r="F433">
            <v>12.649263788401001</v>
          </cell>
          <cell r="G433">
            <v>12.649263788401001</v>
          </cell>
          <cell r="H433">
            <v>12.649264381854572</v>
          </cell>
          <cell r="I433">
            <v>12.649266479069091</v>
          </cell>
          <cell r="J433">
            <v>12.649270176837401</v>
          </cell>
        </row>
        <row r="434">
          <cell r="B434" t="str">
            <v>D-SLFO</v>
          </cell>
          <cell r="C434" t="str">
            <v>VAR_fout</v>
          </cell>
          <cell r="D434" t="str">
            <v>CO2</v>
          </cell>
          <cell r="E434">
            <v>2267.7886725573599</v>
          </cell>
          <cell r="F434">
            <v>1988.1083392676701</v>
          </cell>
          <cell r="G434">
            <v>1985.93539075386</v>
          </cell>
          <cell r="H434">
            <v>1438.3802653319999</v>
          </cell>
          <cell r="I434">
            <v>900.85933718968204</v>
          </cell>
          <cell r="J434">
            <v>389.30618083760402</v>
          </cell>
        </row>
        <row r="435">
          <cell r="B435" t="str">
            <v>D-SLFO</v>
          </cell>
          <cell r="C435" t="str">
            <v>VAR_fout</v>
          </cell>
          <cell r="D435" t="str">
            <v>SLFO</v>
          </cell>
          <cell r="E435">
            <v>30.256634448509324</v>
          </cell>
          <cell r="F435">
            <v>26.525164356439156</v>
          </cell>
          <cell r="G435">
            <v>26.49623702374738</v>
          </cell>
          <cell r="H435">
            <v>19.190922916305198</v>
          </cell>
          <cell r="I435">
            <v>12.019388751947385</v>
          </cell>
          <cell r="J435">
            <v>5.1942290398926581</v>
          </cell>
        </row>
        <row r="436">
          <cell r="B436" t="str">
            <v>D-SLFO</v>
          </cell>
          <cell r="C436" t="str">
            <v>VAR_fin</v>
          </cell>
          <cell r="D436" t="str">
            <v>LFO</v>
          </cell>
          <cell r="E436">
            <v>30.770538297928887</v>
          </cell>
          <cell r="F436">
            <v>26.975689813672659</v>
          </cell>
          <cell r="G436">
            <v>26.946206116063262</v>
          </cell>
          <cell r="H436">
            <v>19.516692881031222</v>
          </cell>
          <cell r="I436">
            <v>12.223328862817944</v>
          </cell>
          <cell r="J436">
            <v>5.2823091022741488</v>
          </cell>
        </row>
        <row r="437">
          <cell r="B437" t="str">
            <v>D-SLFO</v>
          </cell>
          <cell r="C437" t="str">
            <v>VAR_fin</v>
          </cell>
          <cell r="D437" t="str">
            <v>BDS</v>
          </cell>
          <cell r="E437"/>
          <cell r="F437"/>
          <cell r="G437">
            <v>6.413338273930446E-5</v>
          </cell>
          <cell r="H437">
            <v>1.8449377675991619E-4</v>
          </cell>
          <cell r="I437">
            <v>2.0779051438613076E-4</v>
          </cell>
          <cell r="J437">
            <v>1.4277076309363956E-4</v>
          </cell>
        </row>
        <row r="438">
          <cell r="B438" t="str">
            <v>D-RCOA</v>
          </cell>
          <cell r="C438" t="str">
            <v>VAR_fout</v>
          </cell>
          <cell r="D438" t="str">
            <v>CO2</v>
          </cell>
          <cell r="E438">
            <v>9.2703674609388091</v>
          </cell>
          <cell r="F438">
            <v>9.2702427911698706</v>
          </cell>
          <cell r="G438">
            <v>2.4987500003717402</v>
          </cell>
          <cell r="H438">
            <v>0.56198255957779597</v>
          </cell>
          <cell r="I438"/>
          <cell r="J438"/>
        </row>
        <row r="439">
          <cell r="B439" t="str">
            <v>D-RCOA</v>
          </cell>
          <cell r="C439" t="str">
            <v>VAR_fout</v>
          </cell>
          <cell r="D439" t="str">
            <v>RCOA</v>
          </cell>
          <cell r="E439">
            <v>0.10000396397992256</v>
          </cell>
          <cell r="F439">
            <v>0.10000261910647119</v>
          </cell>
          <cell r="G439">
            <v>2.6955231934970274E-2</v>
          </cell>
          <cell r="H439">
            <v>6.0623792834713728E-3</v>
          </cell>
          <cell r="I439"/>
          <cell r="J439"/>
        </row>
        <row r="440">
          <cell r="B440" t="str">
            <v>D-RCOA</v>
          </cell>
          <cell r="C440" t="str">
            <v>VAR_fin</v>
          </cell>
          <cell r="D440" t="str">
            <v>COA</v>
          </cell>
          <cell r="E440">
            <v>0.10000396397992256</v>
          </cell>
          <cell r="F440">
            <v>0.10000261910647119</v>
          </cell>
          <cell r="G440">
            <v>2.6955231934970274E-2</v>
          </cell>
          <cell r="H440">
            <v>6.0623792834713728E-3</v>
          </cell>
          <cell r="I440"/>
          <cell r="J440"/>
        </row>
        <row r="441">
          <cell r="B441" t="str">
            <v>EHYD-RUN00</v>
          </cell>
          <cell r="C441" t="str">
            <v>VAR_fout</v>
          </cell>
          <cell r="D441" t="str">
            <v>ELC13</v>
          </cell>
          <cell r="E441">
            <v>54.392400584936766</v>
          </cell>
          <cell r="F441">
            <v>43.517642040617879</v>
          </cell>
          <cell r="G441">
            <v>53.29372466023549</v>
          </cell>
          <cell r="H441">
            <v>52.200549623104237</v>
          </cell>
          <cell r="I441">
            <v>50.013967371905785</v>
          </cell>
          <cell r="J441">
            <v>47.828031017411242</v>
          </cell>
        </row>
        <row r="442">
          <cell r="B442" t="str">
            <v>EHYD-RUN00</v>
          </cell>
          <cell r="C442" t="str">
            <v>VAR_fin</v>
          </cell>
          <cell r="D442" t="str">
            <v>HYDR</v>
          </cell>
          <cell r="E442">
            <v>54.392400584936766</v>
          </cell>
          <cell r="F442">
            <v>43.517642040617879</v>
          </cell>
          <cell r="G442">
            <v>53.29372466023549</v>
          </cell>
          <cell r="H442">
            <v>52.200549623104237</v>
          </cell>
          <cell r="I442">
            <v>50.013967371905785</v>
          </cell>
          <cell r="J442">
            <v>47.828031017411242</v>
          </cell>
        </row>
        <row r="443">
          <cell r="B443" t="str">
            <v>EHYD-RUN00</v>
          </cell>
          <cell r="C443" t="str">
            <v>VAR_cap</v>
          </cell>
          <cell r="D443" t="str">
            <v>-</v>
          </cell>
          <cell r="E443">
            <v>3.86687</v>
          </cell>
          <cell r="F443">
            <v>3.9240852000672399</v>
          </cell>
          <cell r="G443">
            <v>3.9610124303882599</v>
          </cell>
          <cell r="H443">
            <v>3.9647700000000001</v>
          </cell>
          <cell r="I443">
            <v>3.9647700000000001</v>
          </cell>
          <cell r="J443">
            <v>3.9647700000000001</v>
          </cell>
        </row>
        <row r="444">
          <cell r="B444" t="str">
            <v>HPLELCHP</v>
          </cell>
          <cell r="C444" t="str">
            <v>VAR_fout</v>
          </cell>
          <cell r="D444" t="str">
            <v>LTH</v>
          </cell>
          <cell r="E444"/>
          <cell r="F444">
            <v>3.3821522895453033</v>
          </cell>
          <cell r="G444">
            <v>3.4846357368447864</v>
          </cell>
          <cell r="H444">
            <v>3.6623887100444561</v>
          </cell>
          <cell r="I444">
            <v>4.045560866772175</v>
          </cell>
          <cell r="J444">
            <v>4.4688183752481097</v>
          </cell>
        </row>
        <row r="445">
          <cell r="B445" t="str">
            <v>HPLELCHP</v>
          </cell>
          <cell r="C445" t="str">
            <v>VAR_fin</v>
          </cell>
          <cell r="D445" t="str">
            <v>ELC35</v>
          </cell>
          <cell r="E445"/>
          <cell r="F445">
            <v>1.1273840965151012</v>
          </cell>
          <cell r="G445">
            <v>1.1615452456149291</v>
          </cell>
          <cell r="H445">
            <v>1.2207962366814848</v>
          </cell>
          <cell r="I445">
            <v>1.348520288924058</v>
          </cell>
          <cell r="J445">
            <v>1.4896061250827037</v>
          </cell>
        </row>
        <row r="446">
          <cell r="B446" t="str">
            <v>HPLELCHP</v>
          </cell>
          <cell r="C446" t="str">
            <v>VAR_fin</v>
          </cell>
          <cell r="D446" t="str">
            <v>WWTPCC</v>
          </cell>
          <cell r="E446"/>
          <cell r="F446">
            <v>6.7643045790906102</v>
          </cell>
          <cell r="G446">
            <v>6.96927147368958</v>
          </cell>
          <cell r="H446">
            <v>7.3247774200889104</v>
          </cell>
          <cell r="I446">
            <v>8.0911217335443393</v>
          </cell>
          <cell r="J446">
            <v>8.9376367504962193</v>
          </cell>
        </row>
        <row r="447">
          <cell r="B447" t="str">
            <v>HPLELCHP</v>
          </cell>
          <cell r="C447" t="str">
            <v>VAR_ncap</v>
          </cell>
          <cell r="D447" t="str">
            <v>-</v>
          </cell>
          <cell r="F447">
            <v>0.20831357696570299</v>
          </cell>
          <cell r="G447">
            <v>6.3136695615689398E-3</v>
          </cell>
          <cell r="H447">
            <v>1.09131271400967E-2</v>
          </cell>
          <cell r="I447">
            <v>0.114251603205279</v>
          </cell>
          <cell r="J447">
            <v>0.14913599231403299</v>
          </cell>
        </row>
        <row r="448">
          <cell r="B448" t="str">
            <v>HPLELCHP</v>
          </cell>
          <cell r="C448" t="str">
            <v>VAR_cap</v>
          </cell>
          <cell r="D448" t="str">
            <v>-</v>
          </cell>
          <cell r="F448">
            <v>0.20831357696570299</v>
          </cell>
          <cell r="G448">
            <v>0.21462693721157167</v>
          </cell>
          <cell r="H448">
            <v>0.22553955803158737</v>
          </cell>
          <cell r="I448">
            <v>0.2510223649592489</v>
          </cell>
          <cell r="J448">
            <v>0.27541561569919942</v>
          </cell>
        </row>
        <row r="449">
          <cell r="B449" t="str">
            <v>D-ITOT_LTH</v>
          </cell>
          <cell r="C449" t="str">
            <v>VAR_fout</v>
          </cell>
          <cell r="D449" t="str">
            <v>ITOT_LTH_DH</v>
          </cell>
          <cell r="E449">
            <v>7.1200134745059689</v>
          </cell>
          <cell r="F449">
            <v>7.6289112348133807</v>
          </cell>
          <cell r="G449">
            <v>7.368686244458055</v>
          </cell>
          <cell r="H449">
            <v>7.7973482620782946</v>
          </cell>
          <cell r="I449">
            <v>8.1683775362205644</v>
          </cell>
          <cell r="J449">
            <v>8.7089282942718889</v>
          </cell>
        </row>
        <row r="450">
          <cell r="B450" t="str">
            <v>D-ITOT_LTH</v>
          </cell>
          <cell r="C450" t="str">
            <v>VAR_fin</v>
          </cell>
          <cell r="D450" t="str">
            <v>LTH</v>
          </cell>
          <cell r="E450">
            <v>7.7403503390258317</v>
          </cell>
          <cell r="F450">
            <v>8.2914065687045344</v>
          </cell>
          <cell r="G450">
            <v>8.0054277321319169</v>
          </cell>
          <cell r="H450">
            <v>8.4655712645940415</v>
          </cell>
          <cell r="I450">
            <v>8.8567711731382026</v>
          </cell>
          <cell r="J450">
            <v>9.4305140627298751</v>
          </cell>
        </row>
        <row r="451">
          <cell r="B451" t="str">
            <v>D-ITOT_LTH</v>
          </cell>
          <cell r="C451" t="str">
            <v>VAR_ncap</v>
          </cell>
          <cell r="D451" t="str">
            <v>-</v>
          </cell>
          <cell r="E451">
            <v>0.79547432578180099</v>
          </cell>
          <cell r="F451">
            <v>4.4203111586728898E-8</v>
          </cell>
          <cell r="G451">
            <v>5.0305850505469399E-8</v>
          </cell>
          <cell r="H451">
            <v>5.7756503054329702E-8</v>
          </cell>
          <cell r="I451">
            <v>8.6308563349925906E-8</v>
          </cell>
          <cell r="J451">
            <v>1.0698829830193299E-7</v>
          </cell>
        </row>
        <row r="452">
          <cell r="B452" t="str">
            <v>D-ITOT_LTH</v>
          </cell>
          <cell r="C452" t="str">
            <v>VAR_cap</v>
          </cell>
          <cell r="D452" t="str">
            <v>-</v>
          </cell>
          <cell r="E452">
            <v>0.79547432578180099</v>
          </cell>
          <cell r="F452">
            <v>0.79547436998491206</v>
          </cell>
          <cell r="G452">
            <v>0.79547442029076298</v>
          </cell>
          <cell r="H452">
            <v>0.79547447804726601</v>
          </cell>
          <cell r="I452">
            <v>0.79547464822358105</v>
          </cell>
          <cell r="J452">
            <v>0.79547475521188005</v>
          </cell>
        </row>
        <row r="453">
          <cell r="B453" t="str">
            <v>D-IH2</v>
          </cell>
          <cell r="C453" t="str">
            <v>VAR_fout</v>
          </cell>
          <cell r="D453" t="str">
            <v>IH2</v>
          </cell>
          <cell r="H453">
            <v>9.7481124832496542E-4</v>
          </cell>
          <cell r="I453">
            <v>8.7906475025105214E-3</v>
          </cell>
          <cell r="J453">
            <v>1.9629748542364121E-2</v>
          </cell>
        </row>
        <row r="454">
          <cell r="B454" t="str">
            <v>D-IH2</v>
          </cell>
          <cell r="C454" t="str">
            <v>VAR_fin</v>
          </cell>
          <cell r="D454" t="str">
            <v>H2</v>
          </cell>
          <cell r="H454">
            <v>9.8223773865936041E-4</v>
          </cell>
          <cell r="I454">
            <v>8.8576180661172066E-3</v>
          </cell>
          <cell r="J454">
            <v>1.9779295583462544E-2</v>
          </cell>
        </row>
        <row r="455">
          <cell r="B455" t="str">
            <v>D-IH2</v>
          </cell>
          <cell r="C455" t="str">
            <v>VAR_ncap</v>
          </cell>
          <cell r="D455" t="str">
            <v>-</v>
          </cell>
          <cell r="H455">
            <v>1.66142170533535E-4</v>
          </cell>
          <cell r="I455">
            <v>1.40908264562634E-3</v>
          </cell>
          <cell r="J455">
            <v>1.4311050766833799E-3</v>
          </cell>
        </row>
        <row r="456">
          <cell r="B456" t="str">
            <v>D-IH2</v>
          </cell>
          <cell r="C456" t="str">
            <v>VAR_cap</v>
          </cell>
          <cell r="D456" t="str">
            <v>-</v>
          </cell>
          <cell r="H456">
            <v>1.66142170533535E-4</v>
          </cell>
          <cell r="I456">
            <v>1.84388369141538E-3</v>
          </cell>
          <cell r="J456">
            <v>3.2749887680987699E-3</v>
          </cell>
        </row>
        <row r="457">
          <cell r="B457" t="str">
            <v>RHEM-ESOLPV</v>
          </cell>
          <cell r="C457" t="str">
            <v>VAR_fout</v>
          </cell>
          <cell r="D457" t="str">
            <v>RHEM_SOL_ELC</v>
          </cell>
          <cell r="E457">
            <v>0.86248322578584768</v>
          </cell>
          <cell r="F457">
            <v>1.2875826917616653</v>
          </cell>
          <cell r="G457">
            <v>1.7714998649655369</v>
          </cell>
          <cell r="H457">
            <v>1.9200292449631451</v>
          </cell>
          <cell r="I457">
            <v>2.1209067940857533</v>
          </cell>
          <cell r="J457">
            <v>2.3428019920218985</v>
          </cell>
        </row>
        <row r="458">
          <cell r="B458" t="str">
            <v>RHEM-ESOLPV</v>
          </cell>
          <cell r="C458" t="str">
            <v>VAR_fin</v>
          </cell>
          <cell r="D458" t="str">
            <v>SOL</v>
          </cell>
          <cell r="E458">
            <v>0.86248322578584768</v>
          </cell>
          <cell r="F458">
            <v>1.2875826917616653</v>
          </cell>
          <cell r="G458">
            <v>1.7714998649655369</v>
          </cell>
          <cell r="H458">
            <v>1.9200292449631451</v>
          </cell>
          <cell r="I458">
            <v>2.1209067940857533</v>
          </cell>
          <cell r="J458">
            <v>2.3428019920218985</v>
          </cell>
        </row>
        <row r="459">
          <cell r="B459" t="str">
            <v>RHEM-ESOLPV</v>
          </cell>
          <cell r="C459" t="str">
            <v>VAR_fin</v>
          </cell>
          <cell r="D459" t="str">
            <v>SOLPVC</v>
          </cell>
          <cell r="E459">
            <v>0.86248322578584802</v>
          </cell>
          <cell r="F459">
            <v>1.28758269176166</v>
          </cell>
          <cell r="G459">
            <v>1.77149986496554</v>
          </cell>
          <cell r="H459">
            <v>1.92002924496314</v>
          </cell>
          <cell r="I459">
            <v>2.1209067940857498</v>
          </cell>
          <cell r="J459">
            <v>2.3428019920218999</v>
          </cell>
        </row>
        <row r="460">
          <cell r="B460" t="str">
            <v>RHEM-ESOLPV</v>
          </cell>
          <cell r="C460" t="str">
            <v>VAR_ncap</v>
          </cell>
          <cell r="D460" t="str">
            <v>-</v>
          </cell>
          <cell r="F460">
            <v>4.03845114688403E-8</v>
          </cell>
          <cell r="G460">
            <v>8.2068589044914805E-2</v>
          </cell>
          <cell r="H460">
            <v>2.9367428820108398E-7</v>
          </cell>
          <cell r="I460">
            <v>0.254662605038181</v>
          </cell>
          <cell r="J460">
            <v>0.32772235491891899</v>
          </cell>
        </row>
        <row r="461">
          <cell r="B461" t="str">
            <v>RHEM-ESOLPV</v>
          </cell>
          <cell r="C461" t="str">
            <v>VAR_cap</v>
          </cell>
          <cell r="D461" t="str">
            <v>-</v>
          </cell>
          <cell r="E461">
            <v>0.27424799999999999</v>
          </cell>
          <cell r="F461">
            <v>0.43894535786092448</v>
          </cell>
          <cell r="G461">
            <v>0.56521662942942619</v>
          </cell>
          <cell r="H461">
            <v>0.55349213536319641</v>
          </cell>
          <cell r="I461">
            <v>0.61140018420617004</v>
          </cell>
          <cell r="J461">
            <v>0.67536360423497799</v>
          </cell>
        </row>
        <row r="462">
          <cell r="B462" t="str">
            <v>HPLNUC</v>
          </cell>
          <cell r="C462" t="str">
            <v>VAR_fout</v>
          </cell>
          <cell r="D462" t="str">
            <v>LTH</v>
          </cell>
          <cell r="E462">
            <v>1.4500356790805038</v>
          </cell>
          <cell r="F462">
            <v>3.8018551181461344</v>
          </cell>
          <cell r="G462">
            <v>3.8005505190406987</v>
          </cell>
          <cell r="H462">
            <v>1.0694499572352101</v>
          </cell>
        </row>
        <row r="463">
          <cell r="B463" t="str">
            <v>HPLNUC</v>
          </cell>
          <cell r="C463" t="str">
            <v>VAR_fin</v>
          </cell>
          <cell r="D463" t="str">
            <v>URN</v>
          </cell>
          <cell r="E463">
            <v>1.4500356790805038</v>
          </cell>
          <cell r="F463">
            <v>3.8018551181461344</v>
          </cell>
          <cell r="G463">
            <v>3.8005505190406987</v>
          </cell>
          <cell r="H463">
            <v>1.0694499572352101</v>
          </cell>
        </row>
        <row r="464">
          <cell r="B464" t="str">
            <v>HPLNUC</v>
          </cell>
          <cell r="C464" t="str">
            <v>VAR_cap</v>
          </cell>
          <cell r="D464" t="str">
            <v>-</v>
          </cell>
          <cell r="E464">
            <v>0.120558721922211</v>
          </cell>
          <cell r="F464">
            <v>0.120558721922211</v>
          </cell>
          <cell r="G464">
            <v>0.120558721922211</v>
          </cell>
          <cell r="H464">
            <v>0.11197225056919</v>
          </cell>
          <cell r="I464">
            <v>1.56851844506808E-2</v>
          </cell>
        </row>
        <row r="465">
          <cell r="B465" t="str">
            <v>ITOT-CHPWODCCS</v>
          </cell>
          <cell r="C465" t="str">
            <v>VAR_fin</v>
          </cell>
          <cell r="D465" t="str">
            <v>IWOD</v>
          </cell>
          <cell r="I465">
            <v>2.0637595140927977E-4</v>
          </cell>
          <cell r="J465">
            <v>1.2317549649457774E-4</v>
          </cell>
        </row>
        <row r="466">
          <cell r="B466" t="str">
            <v>SUP_WODBIO</v>
          </cell>
          <cell r="C466" t="str">
            <v>VAR_fout</v>
          </cell>
          <cell r="D466" t="str">
            <v>ELC35</v>
          </cell>
          <cell r="G466">
            <v>5.7654899145430842E-6</v>
          </cell>
          <cell r="H466">
            <v>9.0051462272651116E-6</v>
          </cell>
          <cell r="I466">
            <v>1.1402226368645366E-5</v>
          </cell>
          <cell r="J466">
            <v>1.1292550723279083E-5</v>
          </cell>
        </row>
        <row r="467">
          <cell r="B467" t="str">
            <v>SUP_WODBIO</v>
          </cell>
          <cell r="C467" t="str">
            <v>VAR_fout</v>
          </cell>
          <cell r="D467" t="str">
            <v>BIO</v>
          </cell>
          <cell r="F467">
            <v>5.4989486915303783E-5</v>
          </cell>
          <cell r="G467">
            <v>1.441372478635769E-4</v>
          </cell>
          <cell r="H467">
            <v>2.2512865568162746E-4</v>
          </cell>
          <cell r="I467">
            <v>2.8505565921613376E-4</v>
          </cell>
          <cell r="J467">
            <v>2.8231376808197635E-4</v>
          </cell>
        </row>
        <row r="468">
          <cell r="B468" t="str">
            <v>SUP_WODBIO</v>
          </cell>
          <cell r="C468" t="str">
            <v>VAR_fout</v>
          </cell>
          <cell r="D468" t="str">
            <v>LTH</v>
          </cell>
          <cell r="F468">
            <v>6.5987384298364531E-6</v>
          </cell>
          <cell r="G468">
            <v>1.7296469743629243E-5</v>
          </cell>
          <cell r="H468">
            <v>2.7015438681795304E-5</v>
          </cell>
          <cell r="I468">
            <v>3.4206679105936034E-5</v>
          </cell>
          <cell r="J468">
            <v>3.3877652169837199E-5</v>
          </cell>
        </row>
        <row r="469">
          <cell r="B469" t="str">
            <v>SUP_WODBIO</v>
          </cell>
          <cell r="C469" t="str">
            <v>VAR_fin</v>
          </cell>
          <cell r="D469" t="str">
            <v>CWOD</v>
          </cell>
          <cell r="F469">
            <v>7.42358073356601E-5</v>
          </cell>
          <cell r="G469">
            <v>1.9458528461582878E-4</v>
          </cell>
          <cell r="H469">
            <v>3.0392368517019705E-4</v>
          </cell>
          <cell r="I469">
            <v>3.8482513994178059E-4</v>
          </cell>
          <cell r="J469">
            <v>3.8112358691066886E-4</v>
          </cell>
        </row>
        <row r="470">
          <cell r="B470" t="str">
            <v>SUP_WODBIO</v>
          </cell>
          <cell r="C470" t="str">
            <v>VAR_ncap</v>
          </cell>
          <cell r="D470" t="str">
            <v>-</v>
          </cell>
          <cell r="E470">
            <v>6.0828985177905802E-7</v>
          </cell>
          <cell r="F470">
            <v>2.2945682387667898E-5</v>
          </cell>
          <cell r="G470">
            <v>1.52452424388957E-6</v>
          </cell>
          <cell r="H470">
            <v>4.3057937565401499E-7</v>
          </cell>
          <cell r="I470">
            <v>5.7029072638246703E-6</v>
          </cell>
          <cell r="J470">
            <v>6.03149993122853E-6</v>
          </cell>
        </row>
        <row r="471">
          <cell r="B471" t="str">
            <v>SUP_WODBIO</v>
          </cell>
          <cell r="C471" t="str">
            <v>VAR_cap</v>
          </cell>
          <cell r="D471" t="str">
            <v>-</v>
          </cell>
          <cell r="E471">
            <v>6.0828985177905802E-7</v>
          </cell>
          <cell r="F471">
            <v>2.3482692451666376E-5</v>
          </cell>
          <cell r="G471">
            <v>2.4835402264032277E-5</v>
          </cell>
          <cell r="H471">
            <v>2.512468849879833E-5</v>
          </cell>
          <cell r="I471">
            <v>3.0548966621989902E-5</v>
          </cell>
          <cell r="J471">
            <v>2.1034518763131185E-5</v>
          </cell>
        </row>
        <row r="472">
          <cell r="B472" t="str">
            <v>D-RLFO</v>
          </cell>
          <cell r="C472" t="str">
            <v>VAR_fout</v>
          </cell>
          <cell r="D472" t="str">
            <v>CO2</v>
          </cell>
          <cell r="E472">
            <v>4514.4866764600702</v>
          </cell>
          <cell r="F472">
            <v>3846.5290514143899</v>
          </cell>
          <cell r="G472">
            <v>3738.7366679840602</v>
          </cell>
          <cell r="H472">
            <v>2434.1112412084699</v>
          </cell>
          <cell r="I472">
            <v>1291.1150741393801</v>
          </cell>
          <cell r="J472">
            <v>427.451479614341</v>
          </cell>
        </row>
        <row r="473">
          <cell r="B473" t="str">
            <v>D-RLFO</v>
          </cell>
          <cell r="C473" t="str">
            <v>VAR_fout</v>
          </cell>
          <cell r="D473" t="str">
            <v>RLFO</v>
          </cell>
          <cell r="E473">
            <v>60.231879074642158</v>
          </cell>
          <cell r="F473">
            <v>51.320047944755281</v>
          </cell>
          <cell r="G473">
            <v>49.881954877240332</v>
          </cell>
          <cell r="H473">
            <v>32.475880601332904</v>
          </cell>
          <cell r="I473">
            <v>17.226149373779666</v>
          </cell>
          <cell r="J473">
            <v>5.7031604264555122</v>
          </cell>
        </row>
        <row r="474">
          <cell r="B474" t="str">
            <v>D-RLFO</v>
          </cell>
          <cell r="C474" t="str">
            <v>VAR_fin</v>
          </cell>
          <cell r="D474" t="str">
            <v>LFO</v>
          </cell>
          <cell r="E474">
            <v>61.254907414654987</v>
          </cell>
          <cell r="F474">
            <v>52.19171033126721</v>
          </cell>
          <cell r="G474">
            <v>50.729127109688697</v>
          </cell>
          <cell r="H474">
            <v>33.027289568635943</v>
          </cell>
          <cell r="I474">
            <v>17.518522037169319</v>
          </cell>
          <cell r="J474">
            <v>5.7998843909679936</v>
          </cell>
        </row>
        <row r="475">
          <cell r="B475" t="str">
            <v>D-RLFO</v>
          </cell>
          <cell r="C475" t="str">
            <v>VAR_fin</v>
          </cell>
          <cell r="D475" t="str">
            <v>BDS</v>
          </cell>
          <cell r="G475">
            <v>6.4388040547881656E-5</v>
          </cell>
          <cell r="H475">
            <v>1.8829718203029885E-4</v>
          </cell>
          <cell r="I475">
            <v>2.1063012316219464E-4</v>
          </cell>
          <cell r="J475">
            <v>1.4323210623274775E-4</v>
          </cell>
        </row>
        <row r="476">
          <cell r="B476" t="str">
            <v>G-INTC-EXP00-IT</v>
          </cell>
          <cell r="C476" t="str">
            <v>VAR_fout</v>
          </cell>
          <cell r="D476" t="str">
            <v>ELC_E-IT</v>
          </cell>
          <cell r="E476">
            <v>71.694107832614378</v>
          </cell>
          <cell r="F476">
            <v>35.46887471928207</v>
          </cell>
          <cell r="G476">
            <v>54.784013126194175</v>
          </cell>
          <cell r="H476">
            <v>55.658295088768682</v>
          </cell>
          <cell r="I476">
            <v>19.692795427988287</v>
          </cell>
          <cell r="J476">
            <v>14.135069250652586</v>
          </cell>
        </row>
        <row r="477">
          <cell r="B477" t="str">
            <v>G-INTC-EXP00-IT</v>
          </cell>
          <cell r="C477" t="str">
            <v>VAR_fin</v>
          </cell>
          <cell r="D477" t="str">
            <v>ELC</v>
          </cell>
          <cell r="E477">
            <v>71.694107832614378</v>
          </cell>
          <cell r="F477">
            <v>35.46887471928207</v>
          </cell>
          <cell r="G477">
            <v>54.784013126194175</v>
          </cell>
          <cell r="H477">
            <v>55.658295088768682</v>
          </cell>
          <cell r="I477">
            <v>19.692795427988287</v>
          </cell>
          <cell r="J477">
            <v>14.135069250652586</v>
          </cell>
        </row>
        <row r="478">
          <cell r="B478" t="str">
            <v>G-INTC-EXP00-IT</v>
          </cell>
          <cell r="C478" t="str">
            <v>VAR_ncap</v>
          </cell>
          <cell r="D478" t="str">
            <v>-</v>
          </cell>
          <cell r="E478">
            <v>1.5788966631073399E-6</v>
          </cell>
          <cell r="F478">
            <v>1.5908958462663199E-6</v>
          </cell>
          <cell r="G478">
            <v>1.7344722834943901E-6</v>
          </cell>
          <cell r="H478">
            <v>9.2263188149532601E-7</v>
          </cell>
          <cell r="I478">
            <v>1.3431024607864899E-6</v>
          </cell>
          <cell r="J478">
            <v>2.0606521292809501E-6</v>
          </cell>
        </row>
        <row r="479">
          <cell r="B479" t="str">
            <v>G-INTC-EXP00-IT</v>
          </cell>
          <cell r="C479" t="str">
            <v>VAR_cap</v>
          </cell>
          <cell r="D479" t="str">
            <v>-</v>
          </cell>
          <cell r="E479">
            <v>3.7499985350709544</v>
          </cell>
          <cell r="F479">
            <v>3.7499973306321888</v>
          </cell>
          <cell r="G479">
            <v>3.7499967904529901</v>
          </cell>
          <cell r="H479">
            <v>3.7499983837812945</v>
          </cell>
          <cell r="I479">
            <v>2.4000007940266346</v>
          </cell>
          <cell r="J479">
            <v>2.4000009133736597</v>
          </cell>
        </row>
        <row r="480">
          <cell r="B480" t="str">
            <v>EWOD-CCS</v>
          </cell>
          <cell r="C480" t="str">
            <v>VAR_fin</v>
          </cell>
          <cell r="D480" t="str">
            <v>EWOD</v>
          </cell>
          <cell r="I480">
            <v>2.0693165781837056E-4</v>
          </cell>
          <cell r="J480">
            <v>1.2350682599485892E-4</v>
          </cell>
        </row>
        <row r="481">
          <cell r="B481" t="str">
            <v>EOIL-ENG</v>
          </cell>
          <cell r="C481" t="str">
            <v>VAR_fout</v>
          </cell>
          <cell r="D481" t="str">
            <v>ELC35</v>
          </cell>
          <cell r="E481">
            <v>3.9605256571199406E-2</v>
          </cell>
          <cell r="F481">
            <v>9.9995788894033033E-5</v>
          </cell>
          <cell r="G481">
            <v>2.9245202745594827E-3</v>
          </cell>
          <cell r="H481">
            <v>4.931950502794723E-4</v>
          </cell>
          <cell r="I481">
            <v>1.5392566065940336E-3</v>
          </cell>
          <cell r="J481">
            <v>1.9306153477689323E-3</v>
          </cell>
        </row>
        <row r="482">
          <cell r="B482" t="str">
            <v>EOIL-ENG</v>
          </cell>
          <cell r="C482" t="str">
            <v>VAR_fout</v>
          </cell>
          <cell r="D482" t="str">
            <v>CO2_E</v>
          </cell>
          <cell r="E482">
            <v>8.8483772923038604</v>
          </cell>
          <cell r="F482">
            <v>5.3308987687660403E-2</v>
          </cell>
          <cell r="G482">
            <v>0.75939210773959598</v>
          </cell>
          <cell r="H482">
            <v>0.12956526393178999</v>
          </cell>
          <cell r="I482">
            <v>0.36039919948586502</v>
          </cell>
          <cell r="J482">
            <v>0.45290203891501102</v>
          </cell>
        </row>
        <row r="483">
          <cell r="B483" t="str">
            <v>EOIL-ENG</v>
          </cell>
          <cell r="C483" t="str">
            <v>VAR_fin</v>
          </cell>
          <cell r="D483" t="str">
            <v>ELFO</v>
          </cell>
          <cell r="E483">
            <v>0.12005939338268476</v>
          </cell>
          <cell r="F483">
            <v>7.2332412059240674E-4</v>
          </cell>
          <cell r="G483">
            <v>1.0303827784797766E-2</v>
          </cell>
          <cell r="H483">
            <v>1.758009008572451E-3</v>
          </cell>
          <cell r="I483">
            <v>4.8900841178543429E-3</v>
          </cell>
          <cell r="J483">
            <v>6.145210840095134E-3</v>
          </cell>
        </row>
        <row r="484">
          <cell r="B484" t="str">
            <v>EOIL-ENG</v>
          </cell>
          <cell r="C484" t="str">
            <v>VAR_ncap</v>
          </cell>
          <cell r="D484" t="str">
            <v>-</v>
          </cell>
          <cell r="F484">
            <v>5.450674622101E-6</v>
          </cell>
          <cell r="G484">
            <v>6.3182342304183301E-3</v>
          </cell>
          <cell r="H484">
            <v>8.1584539990014696E-3</v>
          </cell>
          <cell r="I484">
            <v>4.3058405218305296E-6</v>
          </cell>
          <cell r="J484">
            <v>1.9645265802901201E-6</v>
          </cell>
        </row>
        <row r="485">
          <cell r="B485" t="str">
            <v>EOIL-ENG</v>
          </cell>
          <cell r="C485" t="str">
            <v>VAR_cap</v>
          </cell>
          <cell r="D485" t="str">
            <v>-</v>
          </cell>
          <cell r="E485">
            <v>2.1267309613793001E-2</v>
          </cell>
          <cell r="F485">
            <v>2.1121979063672004E-2</v>
          </cell>
          <cell r="G485">
            <v>1.8142927732218126E-2</v>
          </cell>
          <cell r="H485">
            <v>2.1480112792644338E-2</v>
          </cell>
          <cell r="I485">
            <v>3.922359369335518E-2</v>
          </cell>
          <cell r="J485">
            <v>1.3112712594362898E-2</v>
          </cell>
        </row>
        <row r="486">
          <cell r="B486" t="str">
            <v>D-SWOD</v>
          </cell>
          <cell r="C486" t="str">
            <v>VAR_fout</v>
          </cell>
          <cell r="D486" t="str">
            <v>SWOD</v>
          </cell>
          <cell r="E486">
            <v>8.5743737811904062</v>
          </cell>
          <cell r="F486">
            <v>9.4137715249378733</v>
          </cell>
          <cell r="G486">
            <v>9.5310150654032029</v>
          </cell>
          <cell r="H486">
            <v>9.6986795756729638</v>
          </cell>
          <cell r="I486">
            <v>8.440608409236372</v>
          </cell>
          <cell r="J486">
            <v>7.465139482230243</v>
          </cell>
        </row>
        <row r="487">
          <cell r="B487" t="str">
            <v>D-SWOD</v>
          </cell>
          <cell r="C487" t="str">
            <v>VAR_fin</v>
          </cell>
          <cell r="D487" t="str">
            <v>WOD</v>
          </cell>
          <cell r="E487">
            <v>8.5743737811904062</v>
          </cell>
          <cell r="F487">
            <v>9.4137715249378733</v>
          </cell>
          <cell r="G487">
            <v>9.5310150654032029</v>
          </cell>
          <cell r="H487">
            <v>9.6986795756729638</v>
          </cell>
          <cell r="I487">
            <v>8.440608409236372</v>
          </cell>
          <cell r="J487">
            <v>7.465139482230243</v>
          </cell>
        </row>
        <row r="488">
          <cell r="B488" t="str">
            <v>SCOM-CHPWOD</v>
          </cell>
          <cell r="C488" t="str">
            <v>VAR_fout</v>
          </cell>
          <cell r="D488" t="str">
            <v>SCOM_KEV_WOD_ELC_CHP</v>
          </cell>
          <cell r="H488">
            <v>8.3583743729409067E-4</v>
          </cell>
          <cell r="I488">
            <v>9.741262541709746E-4</v>
          </cell>
          <cell r="J488">
            <v>3.5623737516798194E-4</v>
          </cell>
        </row>
        <row r="489">
          <cell r="B489" t="str">
            <v>SCOM-CHPWOD</v>
          </cell>
          <cell r="C489" t="str">
            <v>VAR_fout</v>
          </cell>
          <cell r="D489" t="str">
            <v>SCOM_LTH_CHPWOD</v>
          </cell>
          <cell r="H489">
            <v>1.3358089934865324E-3</v>
          </cell>
          <cell r="I489">
            <v>1.4897135968780289E-3</v>
          </cell>
          <cell r="J489">
            <v>5.2321874118104123E-4</v>
          </cell>
        </row>
        <row r="490">
          <cell r="B490" t="str">
            <v>SCOM-CHPWOD</v>
          </cell>
          <cell r="C490" t="str">
            <v>VAR_fin</v>
          </cell>
          <cell r="D490" t="str">
            <v>SWOD</v>
          </cell>
          <cell r="H490">
            <v>2.8839719411951075E-3</v>
          </cell>
          <cell r="I490">
            <v>3.2474044944664437E-3</v>
          </cell>
          <cell r="J490">
            <v>1.2771639160808973E-3</v>
          </cell>
        </row>
        <row r="491">
          <cell r="B491" t="str">
            <v>SCOM-CHPWOD</v>
          </cell>
          <cell r="C491" t="str">
            <v>VAR_ncap</v>
          </cell>
          <cell r="D491" t="str">
            <v>-</v>
          </cell>
          <cell r="H491">
            <v>7.8916457412714396E-5</v>
          </cell>
          <cell r="I491">
            <v>2.8107654926987798E-5</v>
          </cell>
          <cell r="J491">
            <v>1.8600123275654101E-5</v>
          </cell>
        </row>
        <row r="492">
          <cell r="B492" t="str">
            <v>SCOM-CHPWOD</v>
          </cell>
          <cell r="C492" t="str">
            <v>VAR_cap</v>
          </cell>
          <cell r="D492" t="str">
            <v>-</v>
          </cell>
          <cell r="H492">
            <v>7.8916457412714396E-5</v>
          </cell>
          <cell r="I492">
            <v>9.3994243992900721E-5</v>
          </cell>
          <cell r="J492">
            <v>4.4031223459066862E-5</v>
          </cell>
        </row>
        <row r="493">
          <cell r="B493" t="str">
            <v>ENUC_BMGL</v>
          </cell>
          <cell r="C493" t="str">
            <v>VAR_fout</v>
          </cell>
          <cell r="D493" t="str">
            <v>ELC</v>
          </cell>
          <cell r="E493">
            <v>32.820799999994513</v>
          </cell>
          <cell r="F493">
            <v>32.820796027100343</v>
          </cell>
          <cell r="G493">
            <v>31.352223686019169</v>
          </cell>
          <cell r="H493">
            <v>32.820795503508542</v>
          </cell>
          <cell r="I493">
            <v>32.820812173468198</v>
          </cell>
        </row>
        <row r="494">
          <cell r="B494" t="str">
            <v>ENUC_BMGL</v>
          </cell>
          <cell r="C494" t="str">
            <v>VAR_fin</v>
          </cell>
          <cell r="D494" t="str">
            <v>URN</v>
          </cell>
          <cell r="E494">
            <v>98.945499406646377</v>
          </cell>
          <cell r="F494">
            <v>98.945487429485752</v>
          </cell>
          <cell r="G494">
            <v>94.518154040199519</v>
          </cell>
          <cell r="H494">
            <v>98.945485851003539</v>
          </cell>
          <cell r="I494">
            <v>98.945536106252703</v>
          </cell>
        </row>
        <row r="495">
          <cell r="B495" t="str">
            <v>ENUC_BMGL</v>
          </cell>
          <cell r="C495" t="str">
            <v>VAR_cap</v>
          </cell>
          <cell r="D495" t="str">
            <v>-</v>
          </cell>
          <cell r="E495">
            <v>1.219999968218999</v>
          </cell>
          <cell r="F495">
            <v>1.2199999208421237</v>
          </cell>
          <cell r="G495">
            <v>1.2199997373962781</v>
          </cell>
          <cell r="H495">
            <v>1.2199999270001838</v>
          </cell>
          <cell r="I495">
            <v>1.220000454282326</v>
          </cell>
        </row>
        <row r="496">
          <cell r="B496" t="str">
            <v>D-RSH2R</v>
          </cell>
          <cell r="C496" t="str">
            <v>VAR_ncap</v>
          </cell>
          <cell r="D496" t="str">
            <v>-</v>
          </cell>
          <cell r="H496">
            <v>8.2683492685793196E-8</v>
          </cell>
          <cell r="I496">
            <v>1.03295696995515E-7</v>
          </cell>
          <cell r="J496">
            <v>8.3467610529518906E-8</v>
          </cell>
        </row>
        <row r="497">
          <cell r="B497" t="str">
            <v>D-RSH2R</v>
          </cell>
          <cell r="C497" t="str">
            <v>VAR_cap</v>
          </cell>
          <cell r="D497" t="str">
            <v>-</v>
          </cell>
          <cell r="H497">
            <v>8.2683492685793196E-8</v>
          </cell>
          <cell r="I497">
            <v>1.35806218757275E-7</v>
          </cell>
          <cell r="J497">
            <v>1.18848581447749E-7</v>
          </cell>
        </row>
        <row r="498">
          <cell r="B498" t="str">
            <v>ENGA-GTOC</v>
          </cell>
          <cell r="C498" t="str">
            <v>VAR_fout</v>
          </cell>
          <cell r="D498" t="str">
            <v>ELC13</v>
          </cell>
          <cell r="I498">
            <v>1.04765459983858E-2</v>
          </cell>
          <cell r="J498">
            <v>4.0265372231909945E-3</v>
          </cell>
        </row>
        <row r="499">
          <cell r="B499" t="str">
            <v>ENGA-GTOC</v>
          </cell>
          <cell r="C499" t="str">
            <v>VAR_fout</v>
          </cell>
          <cell r="D499" t="str">
            <v>CO2_E</v>
          </cell>
          <cell r="I499">
            <v>1.4573580187292201</v>
          </cell>
          <cell r="J499">
            <v>0.54884887585943898</v>
          </cell>
        </row>
        <row r="500">
          <cell r="B500" t="str">
            <v>ENGA-GTOC</v>
          </cell>
          <cell r="C500" t="str">
            <v>VAR_fin</v>
          </cell>
          <cell r="D500" t="str">
            <v>ENGA</v>
          </cell>
          <cell r="I500">
            <v>2.5839681183142223E-2</v>
          </cell>
          <cell r="J500">
            <v>9.7313630471531701E-3</v>
          </cell>
        </row>
        <row r="501">
          <cell r="B501" t="str">
            <v>ENGA-GTOC</v>
          </cell>
          <cell r="C501" t="str">
            <v>VAR_fin</v>
          </cell>
          <cell r="D501" t="str">
            <v>GTC</v>
          </cell>
          <cell r="I501">
            <v>3.6757091034560849E-3</v>
          </cell>
          <cell r="J501">
            <v>3.6741125982557659E-3</v>
          </cell>
        </row>
        <row r="502">
          <cell r="B502" t="str">
            <v>ENGA-GTOC</v>
          </cell>
          <cell r="C502" t="str">
            <v>VAR_ncap</v>
          </cell>
          <cell r="D502" t="str">
            <v>-</v>
          </cell>
          <cell r="I502">
            <v>1.3369085105174601E-6</v>
          </cell>
          <cell r="J502">
            <v>8.5997566862434E-7</v>
          </cell>
        </row>
        <row r="503">
          <cell r="B503" t="str">
            <v>ENGA-GTOC</v>
          </cell>
          <cell r="C503" t="str">
            <v>VAR_cap</v>
          </cell>
          <cell r="D503" t="str">
            <v>-</v>
          </cell>
          <cell r="I503">
            <v>3.6757091034560819E-3</v>
          </cell>
          <cell r="J503">
            <v>3.674112598255762E-3</v>
          </cell>
        </row>
        <row r="504">
          <cell r="B504" t="str">
            <v>D-RWOD</v>
          </cell>
          <cell r="C504" t="str">
            <v>VAR_fout</v>
          </cell>
          <cell r="D504" t="str">
            <v>RWOD</v>
          </cell>
          <cell r="E504">
            <v>13.723039856820733</v>
          </cell>
          <cell r="F504">
            <v>13.964828468095648</v>
          </cell>
          <cell r="G504">
            <v>17.147548384431573</v>
          </cell>
          <cell r="H504">
            <v>16.252039697148742</v>
          </cell>
          <cell r="I504">
            <v>13.655955790875737</v>
          </cell>
          <cell r="J504">
            <v>11.300278440604925</v>
          </cell>
        </row>
        <row r="505">
          <cell r="B505" t="str">
            <v>D-RWOD</v>
          </cell>
          <cell r="C505" t="str">
            <v>VAR_fin</v>
          </cell>
          <cell r="D505" t="str">
            <v>WOD</v>
          </cell>
          <cell r="E505">
            <v>13.723039856820733</v>
          </cell>
          <cell r="F505">
            <v>13.964828468095648</v>
          </cell>
          <cell r="G505">
            <v>17.147548384431573</v>
          </cell>
          <cell r="H505">
            <v>16.252039697148742</v>
          </cell>
          <cell r="I505">
            <v>13.655955790875737</v>
          </cell>
          <cell r="J505">
            <v>11.300278440604925</v>
          </cell>
        </row>
        <row r="506">
          <cell r="B506" t="str">
            <v>SCOM-CHPGFC</v>
          </cell>
          <cell r="C506" t="str">
            <v>VAR_fout</v>
          </cell>
          <cell r="D506" t="str">
            <v>CO2_S</v>
          </cell>
          <cell r="H506">
            <v>4.3214036288316597E-2</v>
          </cell>
          <cell r="I506">
            <v>0.85308381562247004</v>
          </cell>
          <cell r="J506">
            <v>539.73677040861503</v>
          </cell>
        </row>
        <row r="507">
          <cell r="B507" t="str">
            <v>SCOM-CHPGFC</v>
          </cell>
          <cell r="C507" t="str">
            <v>VAR_fout</v>
          </cell>
          <cell r="D507" t="str">
            <v>SCOM_NKEV_GAS_ELC_CHP</v>
          </cell>
          <cell r="H507">
            <v>4.5972379030124024E-4</v>
          </cell>
          <cell r="I507">
            <v>9.2266157363423088E-3</v>
          </cell>
          <cell r="J507">
            <v>5.9332765541372536</v>
          </cell>
        </row>
        <row r="508">
          <cell r="B508" t="str">
            <v>SCOM-CHPGFC</v>
          </cell>
          <cell r="C508" t="str">
            <v>VAR_fout</v>
          </cell>
          <cell r="D508" t="str">
            <v>SCOM_LTH_CHPNGA</v>
          </cell>
          <cell r="H508">
            <v>1.3791713709037216E-4</v>
          </cell>
          <cell r="I508">
            <v>2.7226079221993743E-3</v>
          </cell>
          <cell r="J508">
            <v>1.7225641608785551</v>
          </cell>
        </row>
        <row r="509">
          <cell r="B509" t="str">
            <v>SCOM-CHPGFC</v>
          </cell>
          <cell r="C509" t="str">
            <v>VAR_fin</v>
          </cell>
          <cell r="D509" t="str">
            <v>SNGA</v>
          </cell>
          <cell r="H509">
            <v>7.6620631716873395E-4</v>
          </cell>
          <cell r="I509">
            <v>1.51255995677743E-2</v>
          </cell>
          <cell r="J509">
            <v>9.5698008937697647</v>
          </cell>
        </row>
        <row r="510">
          <cell r="B510" t="str">
            <v>SCOM-CHPGFC</v>
          </cell>
          <cell r="C510" t="str">
            <v>VAR_ncap</v>
          </cell>
          <cell r="D510" t="str">
            <v>-</v>
          </cell>
          <cell r="H510">
            <v>3.0319485863166301E-5</v>
          </cell>
          <cell r="I510">
            <v>4.53936174137746E-4</v>
          </cell>
          <cell r="J510">
            <v>0.34785831433557701</v>
          </cell>
        </row>
        <row r="511">
          <cell r="B511" t="str">
            <v>SCOM-CHPGFC</v>
          </cell>
          <cell r="C511" t="str">
            <v>VAR_cap</v>
          </cell>
          <cell r="D511" t="str">
            <v>-</v>
          </cell>
          <cell r="H511">
            <v>3.0319485863166301E-5</v>
          </cell>
          <cell r="I511">
            <v>5.4117298958793008E-4</v>
          </cell>
          <cell r="J511">
            <v>0.34821585711447572</v>
          </cell>
        </row>
        <row r="512">
          <cell r="B512" t="str">
            <v>CHPOIL</v>
          </cell>
          <cell r="C512" t="str">
            <v>VAR_fout</v>
          </cell>
          <cell r="D512" t="str">
            <v>ELC35</v>
          </cell>
          <cell r="E512">
            <v>1.8044911880619656E-3</v>
          </cell>
          <cell r="F512">
            <v>7.1584981419488305E-5</v>
          </cell>
          <cell r="G512">
            <v>8.9723076536803723E-4</v>
          </cell>
          <cell r="H512">
            <v>2.7224373817652319E-4</v>
          </cell>
          <cell r="I512">
            <v>5.4843330195919124E-4</v>
          </cell>
          <cell r="J512">
            <v>3.2889646327821155E-4</v>
          </cell>
        </row>
        <row r="513">
          <cell r="B513" t="str">
            <v>CHPOIL</v>
          </cell>
          <cell r="C513" t="str">
            <v>VAR_fout</v>
          </cell>
          <cell r="D513" t="str">
            <v>LTH</v>
          </cell>
          <cell r="E513">
            <v>9.2802403957472409E-3</v>
          </cell>
          <cell r="F513">
            <v>3.6815133301451092E-4</v>
          </cell>
          <cell r="G513">
            <v>4.6143296504641907E-3</v>
          </cell>
          <cell r="H513">
            <v>1.4001106534792611E-3</v>
          </cell>
          <cell r="I513">
            <v>2.8205141243615537E-3</v>
          </cell>
          <cell r="J513">
            <v>1.6914675254308014E-3</v>
          </cell>
        </row>
        <row r="514">
          <cell r="B514" t="str">
            <v>CHPOIL</v>
          </cell>
          <cell r="C514" t="str">
            <v>VAR_fout</v>
          </cell>
          <cell r="D514" t="str">
            <v>CO2_E</v>
          </cell>
          <cell r="E514">
            <v>1.61004269558757</v>
          </cell>
          <cell r="F514">
            <v>8.0269223389194302E-2</v>
          </cell>
          <cell r="G514">
            <v>0.71177164455752295</v>
          </cell>
          <cell r="H514">
            <v>0.203065147311941</v>
          </cell>
          <cell r="I514">
            <v>0.38068813666609203</v>
          </cell>
          <cell r="J514">
            <v>0.227998723344741</v>
          </cell>
        </row>
        <row r="515">
          <cell r="B515" t="str">
            <v>CHPOIL</v>
          </cell>
          <cell r="C515" t="str">
            <v>VAR_fin</v>
          </cell>
          <cell r="D515" t="str">
            <v>ELFO</v>
          </cell>
          <cell r="E515">
            <v>2.1845898176222157E-2</v>
          </cell>
          <cell r="F515">
            <v>1.0891346457149839E-3</v>
          </cell>
          <cell r="G515">
            <v>9.6576885285959823E-3</v>
          </cell>
          <cell r="H515">
            <v>2.7552937220073465E-3</v>
          </cell>
          <cell r="I515">
            <v>5.1653749886851116E-3</v>
          </cell>
          <cell r="J515">
            <v>3.0936054727916051E-3</v>
          </cell>
        </row>
        <row r="516">
          <cell r="B516" t="str">
            <v>CHPOIL</v>
          </cell>
          <cell r="C516" t="str">
            <v>VAR_ncap</v>
          </cell>
          <cell r="D516" t="str">
            <v>-</v>
          </cell>
          <cell r="F516">
            <v>1.64824241531989E-6</v>
          </cell>
          <cell r="G516">
            <v>1.4673053751963899E-6</v>
          </cell>
          <cell r="H516">
            <v>2.33271516048816E-6</v>
          </cell>
          <cell r="I516">
            <v>3.7994457864734397E-5</v>
          </cell>
          <cell r="J516">
            <v>6.8450029054877099E-5</v>
          </cell>
        </row>
        <row r="517">
          <cell r="B517" t="str">
            <v>CHPOIL</v>
          </cell>
          <cell r="C517" t="str">
            <v>VAR_cap</v>
          </cell>
          <cell r="D517" t="str">
            <v>-</v>
          </cell>
          <cell r="E517">
            <v>2.9701882297072102E-3</v>
          </cell>
          <cell r="F517">
            <v>7.6887785079689068E-4</v>
          </cell>
          <cell r="G517">
            <v>6.7981303621687458E-4</v>
          </cell>
          <cell r="H517">
            <v>4.6295549502646353E-4</v>
          </cell>
          <cell r="I517">
            <v>1.7237589227266683E-4</v>
          </cell>
          <cell r="J517">
            <v>1.119628798158643E-4</v>
          </cell>
        </row>
        <row r="518">
          <cell r="B518" t="str">
            <v>ITOT-ESOLPV</v>
          </cell>
          <cell r="C518" t="str">
            <v>VAR_fout</v>
          </cell>
          <cell r="D518" t="str">
            <v>ITOT_SOL_ELC</v>
          </cell>
          <cell r="E518">
            <v>3.517953999707534</v>
          </cell>
          <cell r="F518">
            <v>4.8498358630868532</v>
          </cell>
          <cell r="G518">
            <v>11.161629688698701</v>
          </cell>
          <cell r="H518">
            <v>12.110654148324913</v>
          </cell>
          <cell r="I518">
            <v>31.864007505027764</v>
          </cell>
          <cell r="J518">
            <v>41.365270797855707</v>
          </cell>
        </row>
        <row r="519">
          <cell r="B519" t="str">
            <v>ITOT-ESOLPV</v>
          </cell>
          <cell r="C519" t="str">
            <v>VAR_fin</v>
          </cell>
          <cell r="D519" t="str">
            <v>SOL</v>
          </cell>
          <cell r="E519">
            <v>3.517953999707534</v>
          </cell>
          <cell r="F519">
            <v>4.8498358630868532</v>
          </cell>
          <cell r="G519">
            <v>11.161629688698701</v>
          </cell>
          <cell r="H519">
            <v>12.110654148324913</v>
          </cell>
          <cell r="I519">
            <v>31.864007505027764</v>
          </cell>
          <cell r="J519">
            <v>41.365270797855707</v>
          </cell>
        </row>
        <row r="520">
          <cell r="B520" t="str">
            <v>ITOT-ESOLPV</v>
          </cell>
          <cell r="C520" t="str">
            <v>VAR_fin</v>
          </cell>
          <cell r="D520" t="str">
            <v>SOLPVC</v>
          </cell>
          <cell r="E520">
            <v>3.51795399970753</v>
          </cell>
          <cell r="F520">
            <v>4.8498358630868497</v>
          </cell>
          <cell r="G520">
            <v>11.161629688698699</v>
          </cell>
          <cell r="H520">
            <v>12.110654148324899</v>
          </cell>
          <cell r="I520">
            <v>31.8640075050278</v>
          </cell>
          <cell r="J520">
            <v>41.3652707978557</v>
          </cell>
        </row>
        <row r="521">
          <cell r="B521" t="str">
            <v>ITOT-ESOLPV</v>
          </cell>
          <cell r="C521" t="str">
            <v>VAR_ncap</v>
          </cell>
          <cell r="D521" t="str">
            <v>-</v>
          </cell>
          <cell r="F521">
            <v>4.6811846245897602E-8</v>
          </cell>
          <cell r="G521">
            <v>1.7679674305819799</v>
          </cell>
          <cell r="H521">
            <v>9.8854598176847396E-6</v>
          </cell>
          <cell r="I521">
            <v>3.8782966504122598</v>
          </cell>
          <cell r="J521">
            <v>5.6253798826072101</v>
          </cell>
        </row>
        <row r="522">
          <cell r="B522" t="str">
            <v>ITOT-ESOLPV</v>
          </cell>
          <cell r="C522" t="str">
            <v>VAR_cap</v>
          </cell>
          <cell r="D522" t="str">
            <v>-</v>
          </cell>
          <cell r="E522">
            <v>1.1186210000000001</v>
          </cell>
          <cell r="F522">
            <v>1.6529270613988962</v>
          </cell>
          <cell r="G522">
            <v>3.5611884773938201</v>
          </cell>
          <cell r="H522">
            <v>3.49228246604953</v>
          </cell>
          <cell r="I522">
            <v>9.1884451767812969</v>
          </cell>
          <cell r="J522">
            <v>11.9282696065896</v>
          </cell>
        </row>
        <row r="523">
          <cell r="B523" t="str">
            <v>RHNS-CHPNGA</v>
          </cell>
          <cell r="C523" t="str">
            <v>VAR_fout</v>
          </cell>
          <cell r="D523" t="str">
            <v>CO2_R</v>
          </cell>
          <cell r="F523">
            <v>8.7974008233015294E-2</v>
          </cell>
          <cell r="G523">
            <v>0.312011838874239</v>
          </cell>
          <cell r="H523">
            <v>0.25194283980292698</v>
          </cell>
          <cell r="I523">
            <v>0.43821136384225301</v>
          </cell>
          <cell r="J523">
            <v>0.27290089368785497</v>
          </cell>
        </row>
        <row r="524">
          <cell r="B524" t="str">
            <v>RHNS-CHPNGA</v>
          </cell>
          <cell r="C524" t="str">
            <v>VAR_fout</v>
          </cell>
          <cell r="D524" t="str">
            <v>RHNS_LTH_CHPNGA</v>
          </cell>
          <cell r="F524">
            <v>9.8566913403213023E-4</v>
          </cell>
          <cell r="G524">
            <v>2.2211772718072438E-3</v>
          </cell>
          <cell r="H524">
            <v>2.2741348207028088E-3</v>
          </cell>
          <cell r="I524">
            <v>4.0912169711074297E-3</v>
          </cell>
          <cell r="J524">
            <v>2.3201874873711812E-3</v>
          </cell>
        </row>
        <row r="525">
          <cell r="B525" t="str">
            <v>RHNS-CHPNGA</v>
          </cell>
          <cell r="C525" t="str">
            <v>VAR_fout</v>
          </cell>
          <cell r="D525" t="str">
            <v>RHNS_NKEV_GAS_ELC_CHP</v>
          </cell>
          <cell r="F525">
            <v>4.1361337995575621E-4</v>
          </cell>
          <cell r="G525">
            <v>9.4656708990207086E-4</v>
          </cell>
          <cell r="H525">
            <v>9.9493398405747606E-4</v>
          </cell>
          <cell r="I525">
            <v>1.8218700574462751E-3</v>
          </cell>
          <cell r="J525">
            <v>1.0680228116470504E-3</v>
          </cell>
        </row>
        <row r="526">
          <cell r="B526" t="str">
            <v>RHNS-CHPNGA</v>
          </cell>
          <cell r="C526" t="str">
            <v>VAR_fin</v>
          </cell>
          <cell r="D526" t="str">
            <v>RNGA</v>
          </cell>
          <cell r="F526">
            <v>1.5598228410109085E-3</v>
          </cell>
          <cell r="G526">
            <v>5.5321248027347331E-3</v>
          </cell>
          <cell r="H526">
            <v>4.4670716277114804E-3</v>
          </cell>
          <cell r="I526">
            <v>7.7697050326640624E-3</v>
          </cell>
          <cell r="J526">
            <v>4.8386683277988445E-3</v>
          </cell>
        </row>
        <row r="527">
          <cell r="B527" t="str">
            <v>RHNS-CHPNGA</v>
          </cell>
          <cell r="C527" t="str">
            <v>VAR_ncap</v>
          </cell>
          <cell r="D527" t="str">
            <v>-</v>
          </cell>
          <cell r="F527">
            <v>4.78531988275717E-5</v>
          </cell>
          <cell r="G527">
            <v>3.58684901079482E-5</v>
          </cell>
          <cell r="H527">
            <v>4.6265530911279097E-6</v>
          </cell>
          <cell r="I527">
            <v>3.6379545911304197E-5</v>
          </cell>
          <cell r="J527">
            <v>9.30656754831556E-6</v>
          </cell>
        </row>
        <row r="528">
          <cell r="B528" t="str">
            <v>RHNS-CHPNGA</v>
          </cell>
          <cell r="C528" t="str">
            <v>VAR_cap</v>
          </cell>
          <cell r="D528" t="str">
            <v>-</v>
          </cell>
          <cell r="F528">
            <v>4.78531988275717E-5</v>
          </cell>
          <cell r="G528">
            <v>8.37216889355199E-5</v>
          </cell>
          <cell r="H528">
            <v>8.8331744572841091E-5</v>
          </cell>
          <cell r="I528">
            <v>1.6182946458659058E-4</v>
          </cell>
          <cell r="J528">
            <v>9.4858926619236655E-5</v>
          </cell>
        </row>
        <row r="529">
          <cell r="B529" t="str">
            <v>ENUC_BEZ</v>
          </cell>
          <cell r="C529" t="str">
            <v>VAR_fout</v>
          </cell>
          <cell r="D529" t="str">
            <v>ELC</v>
          </cell>
          <cell r="E529">
            <v>20.224800384146565</v>
          </cell>
          <cell r="F529">
            <v>20.224792819783136</v>
          </cell>
          <cell r="G529">
            <v>9.5244869815606279</v>
          </cell>
          <cell r="H529">
            <v>7.395583882909051</v>
          </cell>
        </row>
        <row r="530">
          <cell r="B530" t="str">
            <v>ENUC_BEZ</v>
          </cell>
          <cell r="C530" t="str">
            <v>VAR_fin</v>
          </cell>
          <cell r="D530" t="str">
            <v>URN</v>
          </cell>
          <cell r="E530">
            <v>60.972096183196385</v>
          </cell>
          <cell r="F530">
            <v>60.972073378763952</v>
          </cell>
          <cell r="G530">
            <v>28.713654785464673</v>
          </cell>
          <cell r="H530">
            <v>22.295609512818238</v>
          </cell>
        </row>
        <row r="531">
          <cell r="B531" t="str">
            <v>ENUC_BEZ</v>
          </cell>
          <cell r="C531" t="str">
            <v>VAR_cap</v>
          </cell>
          <cell r="D531" t="str">
            <v>-</v>
          </cell>
          <cell r="E531">
            <v>0.72999993215845971</v>
          </cell>
          <cell r="F531">
            <v>0.7299997878099187</v>
          </cell>
          <cell r="G531">
            <v>0.36482143098030501</v>
          </cell>
          <cell r="H531">
            <v>0.26693858212476912</v>
          </cell>
        </row>
        <row r="532">
          <cell r="B532" t="str">
            <v>RHNM-CHPWOD</v>
          </cell>
          <cell r="C532" t="str">
            <v>VAR_fout</v>
          </cell>
          <cell r="D532" t="str">
            <v>RHNM_LTH_CHPWOD</v>
          </cell>
          <cell r="H532">
            <v>2.5084456761957853E-3</v>
          </cell>
          <cell r="I532">
            <v>2.2770324244243715E-3</v>
          </cell>
          <cell r="J532">
            <v>1.2506933443222378E-3</v>
          </cell>
        </row>
        <row r="533">
          <cell r="B533" t="str">
            <v>RHNM-CHPWOD</v>
          </cell>
          <cell r="C533" t="str">
            <v>VAR_fout</v>
          </cell>
          <cell r="D533" t="str">
            <v>RHNM_KEV_WOD_ELC_CHP</v>
          </cell>
          <cell r="H533">
            <v>9.429897634587864E-4</v>
          </cell>
          <cell r="I533">
            <v>8.5599552251508612E-4</v>
          </cell>
          <cell r="J533">
            <v>4.701680535137295E-4</v>
          </cell>
        </row>
        <row r="534">
          <cell r="B534" t="str">
            <v>RHNM-CHPWOD</v>
          </cell>
          <cell r="C534" t="str">
            <v>VAR_fin</v>
          </cell>
          <cell r="D534" t="str">
            <v>RWOD</v>
          </cell>
          <cell r="H534">
            <v>3.9408584748878185E-3</v>
          </cell>
          <cell r="I534">
            <v>3.5612102661712721E-3</v>
          </cell>
          <cell r="J534">
            <v>1.9093373237761421E-3</v>
          </cell>
        </row>
        <row r="535">
          <cell r="B535" t="str">
            <v>RHNM-CHPWOD</v>
          </cell>
          <cell r="C535" t="str">
            <v>VAR_ncap</v>
          </cell>
          <cell r="D535" t="str">
            <v>-</v>
          </cell>
          <cell r="H535">
            <v>7.0009414138879399E-5</v>
          </cell>
          <cell r="I535">
            <v>1.23875336478975E-5</v>
          </cell>
          <cell r="J535">
            <v>2.7368999779270598E-5</v>
          </cell>
        </row>
        <row r="536">
          <cell r="B536" t="str">
            <v>RHNM-CHPWOD</v>
          </cell>
          <cell r="C536" t="str">
            <v>VAR_cap</v>
          </cell>
          <cell r="D536" t="str">
            <v>-</v>
          </cell>
          <cell r="H536">
            <v>7.0009414138879399E-5</v>
          </cell>
          <cell r="I536">
            <v>7.2855740923730822E-5</v>
          </cell>
          <cell r="J536">
            <v>4.1684934300452931E-5</v>
          </cell>
        </row>
        <row r="537">
          <cell r="B537" t="str">
            <v>RHNM-SHSTG-CHPNGA</v>
          </cell>
          <cell r="C537" t="str">
            <v>VAR_fout</v>
          </cell>
          <cell r="D537" t="str">
            <v>AUX_RNM-CHPNGA_OUT</v>
          </cell>
          <cell r="E537">
            <v>5.6580173855737227E-4</v>
          </cell>
          <cell r="F537">
            <v>1.4975578722974822E-4</v>
          </cell>
          <cell r="G537">
            <v>3.1335674879437135E-3</v>
          </cell>
          <cell r="H537">
            <v>1.640322004561557E-2</v>
          </cell>
          <cell r="I537">
            <v>13.554416524059809</v>
          </cell>
          <cell r="J537">
            <v>20.271043765977847</v>
          </cell>
        </row>
        <row r="538">
          <cell r="B538" t="str">
            <v>RHNM-SHSTG-CHPNGA</v>
          </cell>
          <cell r="C538" t="str">
            <v>VAR_fout</v>
          </cell>
          <cell r="D538" t="str">
            <v>RHNM_LTH_CHPNGA</v>
          </cell>
          <cell r="E538">
            <v>5.6580173855737075E-4</v>
          </cell>
          <cell r="F538">
            <v>1.4985562442123445E-4</v>
          </cell>
          <cell r="G538">
            <v>3.1368316207436527E-3</v>
          </cell>
          <cell r="H538">
            <v>1.640322004561557E-2</v>
          </cell>
          <cell r="I538">
            <v>13.554416524059764</v>
          </cell>
          <cell r="J538">
            <v>20.271043765977822</v>
          </cell>
        </row>
        <row r="539">
          <cell r="B539" t="str">
            <v>RHNM-SHSTG-CHPNGA</v>
          </cell>
          <cell r="C539" t="str">
            <v>VAR_fin</v>
          </cell>
          <cell r="D539" t="str">
            <v>AUX_RNM-CHPNGA_IN</v>
          </cell>
          <cell r="E539">
            <v>4.4249245339836573E-4</v>
          </cell>
          <cell r="F539">
            <v>1.9076870543935983E-4</v>
          </cell>
          <cell r="G539">
            <v>4.0407942976890361E-3</v>
          </cell>
          <cell r="H539">
            <v>2.0507394811410114E-2</v>
          </cell>
          <cell r="I539">
            <v>15.946375749873379</v>
          </cell>
          <cell r="J539">
            <v>22.523385330823963</v>
          </cell>
        </row>
        <row r="540">
          <cell r="B540" t="str">
            <v>RHNM-SHSTG-CHPNGA</v>
          </cell>
          <cell r="C540" t="str">
            <v>VAR_fin</v>
          </cell>
          <cell r="D540" t="str">
            <v>RHNM_LTH_CHPNGA</v>
          </cell>
          <cell r="E540">
            <v>4.4249245339836573E-4</v>
          </cell>
          <cell r="F540">
            <v>1.9076870543935983E-4</v>
          </cell>
          <cell r="G540">
            <v>4.0407942976890361E-3</v>
          </cell>
          <cell r="H540">
            <v>2.0507394811410114E-2</v>
          </cell>
          <cell r="I540">
            <v>15.946375749873379</v>
          </cell>
          <cell r="J540">
            <v>22.523385330823963</v>
          </cell>
        </row>
        <row r="541">
          <cell r="B541" t="str">
            <v>RHNM-SHSTG-CHPNGA</v>
          </cell>
          <cell r="C541" t="str">
            <v>VAR_ncap</v>
          </cell>
          <cell r="D541" t="str">
            <v>-</v>
          </cell>
          <cell r="E541">
            <v>2.9128759889509E-3</v>
          </cell>
          <cell r="F541">
            <v>9.0750582498925597E-5</v>
          </cell>
          <cell r="G541">
            <v>2.23089170429213E-4</v>
          </cell>
          <cell r="H541">
            <v>8.0296091416043706E-3</v>
          </cell>
          <cell r="I541">
            <v>0.81479809585630303</v>
          </cell>
          <cell r="J541">
            <v>0.67763577733857305</v>
          </cell>
        </row>
        <row r="542">
          <cell r="B542" t="str">
            <v>RHNM-SHSTG-CHPNGA</v>
          </cell>
          <cell r="C542" t="str">
            <v>VAR_cap</v>
          </cell>
          <cell r="D542" t="str">
            <v>-</v>
          </cell>
          <cell r="E542">
            <v>2.9128759889509E-3</v>
          </cell>
          <cell r="F542">
            <v>2.9986508968321995E-3</v>
          </cell>
          <cell r="G542">
            <v>3.2092341144758195E-3</v>
          </cell>
          <cell r="H542">
            <v>1.1204695654537862E-2</v>
          </cell>
          <cell r="I542">
            <v>0.85963652709406824</v>
          </cell>
          <cell r="J542">
            <v>1.2855898287202052</v>
          </cell>
        </row>
        <row r="543">
          <cell r="B543" t="str">
            <v>CT_CWODBDS</v>
          </cell>
          <cell r="C543" t="str">
            <v>VAR_fout</v>
          </cell>
          <cell r="D543" t="str">
            <v>BDS</v>
          </cell>
          <cell r="E543">
            <v>0.66841305727648392</v>
          </cell>
          <cell r="F543">
            <v>0.63726387165427201</v>
          </cell>
          <cell r="G543">
            <v>1.2035553105154455</v>
          </cell>
          <cell r="H543">
            <v>1.4164020332192349E-4</v>
          </cell>
          <cell r="I543">
            <v>1.1151214803555921E-4</v>
          </cell>
          <cell r="J543">
            <v>7.1162114393426095E-5</v>
          </cell>
        </row>
        <row r="544">
          <cell r="B544" t="str">
            <v>CT_CWODBDS</v>
          </cell>
          <cell r="C544" t="str">
            <v>VAR_fout</v>
          </cell>
          <cell r="D544" t="str">
            <v>LTH</v>
          </cell>
          <cell r="E544">
            <v>0.26068109233782877</v>
          </cell>
          <cell r="F544">
            <v>0.248532909945166</v>
          </cell>
          <cell r="G544">
            <v>0.46938657110102389</v>
          </cell>
          <cell r="H544">
            <v>5.5239679295550071E-5</v>
          </cell>
          <cell r="I544">
            <v>4.3489737733867983E-5</v>
          </cell>
          <cell r="J544">
            <v>2.7753224613436137E-5</v>
          </cell>
        </row>
        <row r="545">
          <cell r="B545" t="str">
            <v>CT_CWODBDS</v>
          </cell>
          <cell r="C545" t="str">
            <v>VAR_fin</v>
          </cell>
          <cell r="D545" t="str">
            <v>CWOD</v>
          </cell>
          <cell r="E545">
            <v>1.9046430067093427</v>
          </cell>
          <cell r="F545">
            <v>1.8158834022788468</v>
          </cell>
          <cell r="G545">
            <v>3.4295308573137615</v>
          </cell>
          <cell r="H545">
            <v>4.0360375936582054E-4</v>
          </cell>
          <cell r="I545">
            <v>3.1775386582732584E-4</v>
          </cell>
          <cell r="J545">
            <v>2.0277644496406738E-4</v>
          </cell>
        </row>
        <row r="546">
          <cell r="B546" t="str">
            <v>CT_CWODBDS</v>
          </cell>
          <cell r="C546" t="str">
            <v>VAR_fin</v>
          </cell>
          <cell r="D546" t="str">
            <v>CELC</v>
          </cell>
          <cell r="E546">
            <v>4.6454707480715646E-2</v>
          </cell>
          <cell r="F546">
            <v>4.4289839079971915E-2</v>
          </cell>
          <cell r="G546">
            <v>8.3647094080823464E-2</v>
          </cell>
          <cell r="H546">
            <v>9.8439941308736829E-6</v>
          </cell>
          <cell r="I546">
            <v>7.7500942884713638E-6</v>
          </cell>
          <cell r="J546">
            <v>4.9457669503431126E-6</v>
          </cell>
        </row>
        <row r="547">
          <cell r="B547" t="str">
            <v>CT_CWODBDS</v>
          </cell>
          <cell r="C547" t="str">
            <v>VAR_ncap</v>
          </cell>
          <cell r="D547" t="str">
            <v>-</v>
          </cell>
          <cell r="E547">
            <v>2.36957239707213E-7</v>
          </cell>
          <cell r="F547">
            <v>1.8245500523864599E-7</v>
          </cell>
          <cell r="G547">
            <v>4.1527381434514502E-7</v>
          </cell>
          <cell r="H547">
            <v>1.7457884129972599E-7</v>
          </cell>
          <cell r="I547">
            <v>3.7561707074406001E-6</v>
          </cell>
          <cell r="J547">
            <v>6.4514316828560804E-7</v>
          </cell>
        </row>
        <row r="548">
          <cell r="B548" t="str">
            <v>CT_CWODBDS</v>
          </cell>
          <cell r="C548" t="str">
            <v>VAR_cap</v>
          </cell>
          <cell r="D548" t="str">
            <v>-</v>
          </cell>
          <cell r="E548">
            <v>6.2410980437956759E-2</v>
          </cell>
          <cell r="F548">
            <v>6.2410141094812931E-2</v>
          </cell>
          <cell r="G548">
            <v>6.2409901853999361E-2</v>
          </cell>
          <cell r="H548">
            <v>4.1633201604086845E-5</v>
          </cell>
          <cell r="I548">
            <v>2.0572936180705629E-5</v>
          </cell>
          <cell r="J548">
            <v>1.7325909946827575E-5</v>
          </cell>
        </row>
        <row r="549">
          <cell r="B549" t="str">
            <v>RHNS-EBAT</v>
          </cell>
          <cell r="C549" t="str">
            <v>VAR_fout</v>
          </cell>
          <cell r="D549" t="str">
            <v>RHNS_ELC</v>
          </cell>
          <cell r="E549">
            <v>1.0137618840269378E-3</v>
          </cell>
          <cell r="F549">
            <v>1.0046579300028845E-3</v>
          </cell>
          <cell r="G549">
            <v>1.0072641551756344E-3</v>
          </cell>
          <cell r="H549">
            <v>2.6707473025755366E-2</v>
          </cell>
          <cell r="I549">
            <v>1.703733905252516E-2</v>
          </cell>
          <cell r="J549">
            <v>1.267054110290076E-2</v>
          </cell>
        </row>
        <row r="550">
          <cell r="B550" t="str">
            <v>RHNS-EBAT</v>
          </cell>
          <cell r="C550" t="str">
            <v>VAR_fout</v>
          </cell>
          <cell r="D550" t="str">
            <v>AUX_RHNS-EBAT_OUT</v>
          </cell>
          <cell r="E550">
            <v>1.0137618840269393E-3</v>
          </cell>
          <cell r="F550">
            <v>1.0046579300028854E-3</v>
          </cell>
          <cell r="G550">
            <v>1.0072641551756361E-3</v>
          </cell>
          <cell r="H550">
            <v>2.6707473025755376E-2</v>
          </cell>
          <cell r="I550">
            <v>1.7037339052525188E-2</v>
          </cell>
          <cell r="J550">
            <v>1.2670541102900775E-2</v>
          </cell>
        </row>
        <row r="551">
          <cell r="B551" t="str">
            <v>RHNS-EBAT</v>
          </cell>
          <cell r="C551" t="str">
            <v>VAR_fin</v>
          </cell>
          <cell r="D551" t="str">
            <v>RHNS_ELC</v>
          </cell>
          <cell r="E551">
            <v>1.1360552529433999E-3</v>
          </cell>
          <cell r="F551">
            <v>1.1228645131603266E-3</v>
          </cell>
          <cell r="G551">
            <v>1.1152359477247984E-3</v>
          </cell>
          <cell r="H551">
            <v>2.953737815552962E-2</v>
          </cell>
          <cell r="I551">
            <v>1.8842173654583978E-2</v>
          </cell>
          <cell r="J551">
            <v>1.4013512380317217E-2</v>
          </cell>
        </row>
        <row r="552">
          <cell r="B552" t="str">
            <v>RHNS-EBAT</v>
          </cell>
          <cell r="C552" t="str">
            <v>VAR_fin</v>
          </cell>
          <cell r="D552" t="str">
            <v>AUX_RHNS-EBAT_IN</v>
          </cell>
          <cell r="E552">
            <v>1.1360552529433999E-3</v>
          </cell>
          <cell r="F552">
            <v>1.1228645131603266E-3</v>
          </cell>
          <cell r="G552">
            <v>1.1152359477247984E-3</v>
          </cell>
          <cell r="H552">
            <v>2.953737815552962E-2</v>
          </cell>
          <cell r="I552">
            <v>1.8842173654583978E-2</v>
          </cell>
          <cell r="J552">
            <v>1.4013512380317217E-2</v>
          </cell>
        </row>
        <row r="553">
          <cell r="B553" t="str">
            <v>RHNS-EBAT</v>
          </cell>
          <cell r="C553" t="str">
            <v>VAR_ncap</v>
          </cell>
          <cell r="D553" t="str">
            <v>-</v>
          </cell>
          <cell r="E553">
            <v>4.0853728502989503E-4</v>
          </cell>
          <cell r="F553">
            <v>6.4251800832543703E-7</v>
          </cell>
          <cell r="G553">
            <v>1.8285199011040301E-6</v>
          </cell>
          <cell r="H553">
            <v>1.46829597039815E-2</v>
          </cell>
          <cell r="I553">
            <v>3.3908154784257098E-3</v>
          </cell>
          <cell r="J553">
            <v>3.3153558848471299E-3</v>
          </cell>
        </row>
        <row r="554">
          <cell r="B554" t="str">
            <v>RHNS-EBAT</v>
          </cell>
          <cell r="C554" t="str">
            <v>VAR_cap</v>
          </cell>
          <cell r="D554" t="str">
            <v>-</v>
          </cell>
          <cell r="E554">
            <v>4.1123396202625163E-4</v>
          </cell>
          <cell r="F554">
            <v>4.1164114789845799E-4</v>
          </cell>
          <cell r="G554">
            <v>4.1306106706770257E-4</v>
          </cell>
          <cell r="H554">
            <v>1.498357709565782E-2</v>
          </cell>
          <cell r="I554">
            <v>6.994902622724038E-3</v>
          </cell>
          <cell r="J554">
            <v>5.1917654498162685E-3</v>
          </cell>
        </row>
        <row r="555">
          <cell r="B555" t="str">
            <v>G-INTC-EXP00-AT</v>
          </cell>
          <cell r="C555" t="str">
            <v>VAR_fout</v>
          </cell>
          <cell r="D555" t="str">
            <v>ELC_E-AT</v>
          </cell>
          <cell r="E555">
            <v>6.2295668534316757</v>
          </cell>
          <cell r="F555">
            <v>6.3365133156349221E-4</v>
          </cell>
          <cell r="G555">
            <v>8.4617894653832434E-4</v>
          </cell>
          <cell r="H555">
            <v>1.4544914331047771E-4</v>
          </cell>
          <cell r="I555">
            <v>1.9996919464519404E-4</v>
          </cell>
          <cell r="J555">
            <v>1.3611769716607601E-4</v>
          </cell>
        </row>
        <row r="556">
          <cell r="B556" t="str">
            <v>G-INTC-EXP00-AT</v>
          </cell>
          <cell r="C556" t="str">
            <v>VAR_fin</v>
          </cell>
          <cell r="D556" t="str">
            <v>ELC</v>
          </cell>
          <cell r="E556">
            <v>6.2295668534316757</v>
          </cell>
          <cell r="F556">
            <v>6.3365133156349221E-4</v>
          </cell>
          <cell r="G556">
            <v>8.4617894653832434E-4</v>
          </cell>
          <cell r="H556">
            <v>1.4544914331047771E-4</v>
          </cell>
          <cell r="I556">
            <v>1.9996919464519404E-4</v>
          </cell>
          <cell r="J556">
            <v>1.3611769716607601E-4</v>
          </cell>
        </row>
        <row r="557">
          <cell r="B557" t="str">
            <v>G-INTC-EXP00-AT</v>
          </cell>
          <cell r="C557" t="str">
            <v>VAR_ncap</v>
          </cell>
          <cell r="D557" t="str">
            <v>-</v>
          </cell>
          <cell r="E557">
            <v>3.4934195223620802E-7</v>
          </cell>
          <cell r="F557">
            <v>3.2093460942577699E-7</v>
          </cell>
          <cell r="G557">
            <v>3.6803499428163502E-7</v>
          </cell>
          <cell r="H557">
            <v>3.14792268159761E-7</v>
          </cell>
          <cell r="I557">
            <v>6.6076403169671801E-7</v>
          </cell>
          <cell r="J557">
            <v>1.5057547881039201E-6</v>
          </cell>
        </row>
        <row r="558">
          <cell r="B558" t="str">
            <v>G-INTC-EXP00-AT</v>
          </cell>
          <cell r="C558" t="str">
            <v>VAR_cap</v>
          </cell>
          <cell r="D558" t="str">
            <v>-</v>
          </cell>
          <cell r="E558">
            <v>0.23092813718586791</v>
          </cell>
          <cell r="F558">
            <v>3.9873450721006343E-4</v>
          </cell>
          <cell r="G558">
            <v>3.9566920444999987E-4</v>
          </cell>
          <cell r="H558">
            <v>3.9387152363934419E-4</v>
          </cell>
          <cell r="I558">
            <v>3.9158563695407267E-4</v>
          </cell>
          <cell r="J558">
            <v>3.933154499038416E-4</v>
          </cell>
        </row>
        <row r="559">
          <cell r="B559" t="str">
            <v>G-INTC-IMP00-DE</v>
          </cell>
          <cell r="C559" t="str">
            <v>VAR_fout</v>
          </cell>
          <cell r="D559" t="str">
            <v>ELC</v>
          </cell>
          <cell r="E559">
            <v>46.398478887005879</v>
          </cell>
          <cell r="F559">
            <v>33.314640294422183</v>
          </cell>
          <cell r="G559">
            <v>31.586498718089356</v>
          </cell>
          <cell r="H559">
            <v>35.9275026828956</v>
          </cell>
          <cell r="I559">
            <v>32.601357781870043</v>
          </cell>
          <cell r="J559">
            <v>27.21930933392062</v>
          </cell>
        </row>
        <row r="560">
          <cell r="B560" t="str">
            <v>G-INTC-IMP00-DE</v>
          </cell>
          <cell r="C560" t="str">
            <v>VAR_fin</v>
          </cell>
          <cell r="D560" t="str">
            <v>ELC_I-DE</v>
          </cell>
          <cell r="E560">
            <v>46.398478887005879</v>
          </cell>
          <cell r="F560">
            <v>33.314640294422183</v>
          </cell>
          <cell r="G560">
            <v>31.586498718089356</v>
          </cell>
          <cell r="H560">
            <v>35.9275026828956</v>
          </cell>
          <cell r="I560">
            <v>32.601357781870043</v>
          </cell>
          <cell r="J560">
            <v>27.21930933392062</v>
          </cell>
        </row>
        <row r="561">
          <cell r="B561" t="str">
            <v>G-INTC-IMP00-DE</v>
          </cell>
          <cell r="C561" t="str">
            <v>VAR_ncap</v>
          </cell>
          <cell r="D561" t="str">
            <v>-</v>
          </cell>
          <cell r="E561">
            <v>9.2695340684409802E-7</v>
          </cell>
          <cell r="F561">
            <v>9.3282068579818197E-7</v>
          </cell>
          <cell r="G561">
            <v>1.1442017762038599E-6</v>
          </cell>
          <cell r="H561">
            <v>1.05204830879333E-6</v>
          </cell>
          <cell r="I561">
            <v>1.83487303130065E-6</v>
          </cell>
          <cell r="J561">
            <v>2.8604961615207401E-6</v>
          </cell>
        </row>
        <row r="562">
          <cell r="B562" t="str">
            <v>G-INTC-IMP00-DE</v>
          </cell>
          <cell r="C562" t="str">
            <v>VAR_cap</v>
          </cell>
          <cell r="D562" t="str">
            <v>-</v>
          </cell>
          <cell r="E562">
            <v>2.3963322221289305</v>
          </cell>
          <cell r="F562">
            <v>2.3963148741387101</v>
          </cell>
          <cell r="G562">
            <v>2.3963125451238101</v>
          </cell>
          <cell r="H562">
            <v>2.3963111518241886</v>
          </cell>
          <cell r="I562">
            <v>2.3963109488772778</v>
          </cell>
          <cell r="J562">
            <v>2.3963120470975268</v>
          </cell>
        </row>
        <row r="563">
          <cell r="B563" t="str">
            <v>RHEM-SHSTG-CHPWOD</v>
          </cell>
          <cell r="C563" t="str">
            <v>VAR_fout</v>
          </cell>
          <cell r="D563" t="str">
            <v>AUX_REM-CHPWOD_OUT</v>
          </cell>
          <cell r="E563">
            <v>5.3528850190020659E-4</v>
          </cell>
          <cell r="F563">
            <v>2.6860624022160873E-4</v>
          </cell>
          <cell r="G563">
            <v>2.3895373250931284E-4</v>
          </cell>
          <cell r="H563">
            <v>1.4182310819835771E-3</v>
          </cell>
          <cell r="I563">
            <v>5.3950851646446486E-3</v>
          </cell>
          <cell r="J563">
            <v>5.252017925404349E-3</v>
          </cell>
        </row>
        <row r="564">
          <cell r="B564" t="str">
            <v>RHEM-SHSTG-CHPWOD</v>
          </cell>
          <cell r="C564" t="str">
            <v>VAR_fout</v>
          </cell>
          <cell r="D564" t="str">
            <v>RHEM_LTH_CHPWOD</v>
          </cell>
          <cell r="E564">
            <v>5.3528850190020497E-4</v>
          </cell>
          <cell r="F564">
            <v>2.6878531104842276E-4</v>
          </cell>
          <cell r="G564">
            <v>2.3920264264734307E-4</v>
          </cell>
          <cell r="H564">
            <v>1.4182310819835771E-3</v>
          </cell>
          <cell r="I564">
            <v>5.3950851646446295E-3</v>
          </cell>
          <cell r="J564">
            <v>5.2520179254043464E-3</v>
          </cell>
        </row>
        <row r="565">
          <cell r="B565" t="str">
            <v>RHEM-SHSTG-CHPWOD</v>
          </cell>
          <cell r="C565" t="str">
            <v>VAR_fin</v>
          </cell>
          <cell r="D565" t="str">
            <v>AUX_REM-CHPWOD_IN</v>
          </cell>
          <cell r="E565">
            <v>4.1877603449405138E-4</v>
          </cell>
          <cell r="F565">
            <v>1.6603786370698157E-4</v>
          </cell>
          <cell r="G565">
            <v>1.898419855468884E-4</v>
          </cell>
          <cell r="H565">
            <v>1.7761580992863505E-3</v>
          </cell>
          <cell r="I565">
            <v>6.3505276437775477E-3</v>
          </cell>
          <cell r="J565">
            <v>5.8389440992111553E-3</v>
          </cell>
        </row>
        <row r="566">
          <cell r="B566" t="str">
            <v>RHEM-SHSTG-CHPWOD</v>
          </cell>
          <cell r="C566" t="str">
            <v>VAR_fin</v>
          </cell>
          <cell r="D566" t="str">
            <v>RHEM_LTH_CHPWOD</v>
          </cell>
          <cell r="E566">
            <v>4.1877603449405138E-4</v>
          </cell>
          <cell r="F566">
            <v>1.6603786370698157E-4</v>
          </cell>
          <cell r="G566">
            <v>1.898419855468884E-4</v>
          </cell>
          <cell r="H566">
            <v>1.7761580992863505E-3</v>
          </cell>
          <cell r="I566">
            <v>6.3505276437775477E-3</v>
          </cell>
          <cell r="J566">
            <v>5.8389440992111553E-3</v>
          </cell>
        </row>
        <row r="567">
          <cell r="B567" t="str">
            <v>RHEM-SHSTG-CHPWOD</v>
          </cell>
          <cell r="C567" t="str">
            <v>VAR_ncap</v>
          </cell>
          <cell r="D567" t="str">
            <v>-</v>
          </cell>
          <cell r="E567">
            <v>1.9244408288211E-3</v>
          </cell>
          <cell r="F567">
            <v>4.3045673065043097E-5</v>
          </cell>
          <cell r="G567">
            <v>6.3922193632462294E-5</v>
          </cell>
          <cell r="H567">
            <v>5.57510997496008E-5</v>
          </cell>
          <cell r="I567">
            <v>1.6204111855240601E-4</v>
          </cell>
          <cell r="J567">
            <v>3.4496809312073201E-4</v>
          </cell>
        </row>
        <row r="568">
          <cell r="B568" t="str">
            <v>RHEM-SHSTG-CHPWOD</v>
          </cell>
          <cell r="C568" t="str">
            <v>VAR_cap</v>
          </cell>
          <cell r="D568" t="str">
            <v>-</v>
          </cell>
          <cell r="E568">
            <v>1.9244408288211E-3</v>
          </cell>
          <cell r="F568">
            <v>1.9617512645581808E-3</v>
          </cell>
          <cell r="G568">
            <v>2.0099667142439315E-3</v>
          </cell>
          <cell r="H568">
            <v>2.0460465160907037E-3</v>
          </cell>
          <cell r="I568">
            <v>2.6528553394465919E-3</v>
          </cell>
          <cell r="J568">
            <v>1.4921670173909079E-3</v>
          </cell>
        </row>
        <row r="569">
          <cell r="B569" t="str">
            <v>RHNM-CHPGFC</v>
          </cell>
          <cell r="C569" t="str">
            <v>VAR_fout</v>
          </cell>
          <cell r="D569" t="str">
            <v>CO2_R</v>
          </cell>
          <cell r="H569">
            <v>7.1568499095503793E-2</v>
          </cell>
          <cell r="I569">
            <v>0.39196110020664898</v>
          </cell>
          <cell r="J569">
            <v>82.613376682804102</v>
          </cell>
        </row>
        <row r="570">
          <cell r="B570" t="str">
            <v>RHNM-CHPGFC</v>
          </cell>
          <cell r="C570" t="str">
            <v>VAR_fout</v>
          </cell>
          <cell r="D570" t="str">
            <v>RHNM_NKEV_GAS_ELC_CHP</v>
          </cell>
          <cell r="H570">
            <v>5.3295690815800671E-4</v>
          </cell>
          <cell r="I570">
            <v>3.0578525548036494E-3</v>
          </cell>
          <cell r="J570">
            <v>0.65914928204364998</v>
          </cell>
        </row>
        <row r="571">
          <cell r="B571" t="str">
            <v>RHNM-CHPGFC</v>
          </cell>
          <cell r="C571" t="str">
            <v>VAR_fout</v>
          </cell>
          <cell r="D571" t="str">
            <v>RHNM_LTH_CHPNGA</v>
          </cell>
          <cell r="H571">
            <v>5.9691173713696778E-4</v>
          </cell>
          <cell r="I571">
            <v>3.2413237080918672E-3</v>
          </cell>
          <cell r="J571">
            <v>0.65914928204364998</v>
          </cell>
        </row>
        <row r="572">
          <cell r="B572" t="str">
            <v>RHNM-CHPGFC</v>
          </cell>
          <cell r="C572" t="str">
            <v>VAR_fin</v>
          </cell>
          <cell r="D572" t="str">
            <v>RNGA</v>
          </cell>
          <cell r="H572">
            <v>1.2689450194238255E-3</v>
          </cell>
          <cell r="I572">
            <v>6.9496648972810146E-3</v>
          </cell>
          <cell r="J572">
            <v>1.4647761823192218</v>
          </cell>
        </row>
        <row r="573">
          <cell r="B573" t="str">
            <v>RHNM-CHPGFC</v>
          </cell>
          <cell r="C573" t="str">
            <v>VAR_ncap</v>
          </cell>
          <cell r="D573" t="str">
            <v>-</v>
          </cell>
          <cell r="H573">
            <v>4.7080791370436497E-5</v>
          </cell>
          <cell r="I573">
            <v>7.8462439100342196E-5</v>
          </cell>
          <cell r="J573">
            <v>5.8385371333648101E-2</v>
          </cell>
        </row>
        <row r="574">
          <cell r="B574" t="str">
            <v>RHNM-CHPGFC</v>
          </cell>
          <cell r="C574" t="str">
            <v>VAR_cap</v>
          </cell>
          <cell r="D574" t="str">
            <v>-</v>
          </cell>
          <cell r="H574">
            <v>4.7080791370436497E-5</v>
          </cell>
          <cell r="I574">
            <v>2.7169685879528709E-4</v>
          </cell>
          <cell r="J574">
            <v>5.859243817929051E-2</v>
          </cell>
        </row>
        <row r="575">
          <cell r="B575" t="str">
            <v>G-INTC-EXP00-FR</v>
          </cell>
          <cell r="C575" t="str">
            <v>VAR_fout</v>
          </cell>
          <cell r="D575" t="str">
            <v>ELC_E-FR</v>
          </cell>
          <cell r="E575">
            <v>12.753366739010422</v>
          </cell>
          <cell r="F575">
            <v>5.6731250810467925E-4</v>
          </cell>
          <cell r="G575">
            <v>5.1682333077293684E-4</v>
          </cell>
          <cell r="H575">
            <v>2.5831675297700038E-4</v>
          </cell>
          <cell r="I575">
            <v>1.5276926962981159E-3</v>
          </cell>
          <cell r="J575">
            <v>8.5805561225242187E-4</v>
          </cell>
        </row>
        <row r="576">
          <cell r="B576" t="str">
            <v>G-INTC-EXP00-FR</v>
          </cell>
          <cell r="C576" t="str">
            <v>VAR_fin</v>
          </cell>
          <cell r="D576" t="str">
            <v>ELC</v>
          </cell>
          <cell r="E576">
            <v>12.753366739010422</v>
          </cell>
          <cell r="F576">
            <v>5.6731250810467925E-4</v>
          </cell>
          <cell r="G576">
            <v>5.1682333077293684E-4</v>
          </cell>
          <cell r="H576">
            <v>2.5831675297700038E-4</v>
          </cell>
          <cell r="I576">
            <v>1.5276926962981159E-3</v>
          </cell>
          <cell r="J576">
            <v>8.5805561225242187E-4</v>
          </cell>
        </row>
        <row r="577">
          <cell r="B577" t="str">
            <v>G-INTC-EXP00-FR</v>
          </cell>
          <cell r="C577" t="str">
            <v>VAR_ncap</v>
          </cell>
          <cell r="D577" t="str">
            <v>-</v>
          </cell>
          <cell r="E577">
            <v>9.3226087179131998E-7</v>
          </cell>
          <cell r="F577">
            <v>8.69965775815889E-7</v>
          </cell>
          <cell r="G577">
            <v>1.1343454572377199E-6</v>
          </cell>
          <cell r="H577">
            <v>1.6091494959802899E-6</v>
          </cell>
          <cell r="I577">
            <v>2.78776311330156E-6</v>
          </cell>
          <cell r="J577">
            <v>4.3268261558748401E-6</v>
          </cell>
        </row>
        <row r="578">
          <cell r="B578" t="str">
            <v>G-INTC-EXP00-FR</v>
          </cell>
          <cell r="C578" t="str">
            <v>VAR_cap</v>
          </cell>
          <cell r="D578" t="str">
            <v>-</v>
          </cell>
          <cell r="E578">
            <v>1.2999951086549135</v>
          </cell>
          <cell r="F578">
            <v>8.9133249200012976E-4</v>
          </cell>
          <cell r="G578">
            <v>8.8722320411993572E-4</v>
          </cell>
          <cell r="H578">
            <v>8.8835234174022837E-4</v>
          </cell>
          <cell r="I578">
            <v>8.8953505822098045E-4</v>
          </cell>
          <cell r="J578">
            <v>8.9319945755983454E-4</v>
          </cell>
        </row>
        <row r="579">
          <cell r="B579" t="str">
            <v>RHNM-EBAT</v>
          </cell>
          <cell r="C579" t="str">
            <v>VAR_fout</v>
          </cell>
          <cell r="D579" t="str">
            <v>RHNM_ELC</v>
          </cell>
          <cell r="E579">
            <v>1.013515848749344E-3</v>
          </cell>
          <cell r="F579">
            <v>1.004406246194246E-3</v>
          </cell>
          <cell r="G579">
            <v>1.0092297044915722E-3</v>
          </cell>
          <cell r="H579">
            <v>2.6812293960111484E-2</v>
          </cell>
          <cell r="I579">
            <v>1.9468660463952996E-2</v>
          </cell>
          <cell r="J579">
            <v>1.2669640121739382E-2</v>
          </cell>
        </row>
        <row r="580">
          <cell r="B580" t="str">
            <v>RHNM-EBAT</v>
          </cell>
          <cell r="C580" t="str">
            <v>VAR_fout</v>
          </cell>
          <cell r="D580" t="str">
            <v>AUX_RHNM-EBAT_OUT</v>
          </cell>
          <cell r="E580">
            <v>1.0135158487493451E-3</v>
          </cell>
          <cell r="F580">
            <v>1.0044062461942466E-3</v>
          </cell>
          <cell r="G580">
            <v>1.0092297044915729E-3</v>
          </cell>
          <cell r="H580">
            <v>2.6812293960111512E-2</v>
          </cell>
          <cell r="I580">
            <v>1.9468660463953017E-2</v>
          </cell>
          <cell r="J580">
            <v>1.2669640121739387E-2</v>
          </cell>
        </row>
        <row r="581">
          <cell r="B581" t="str">
            <v>RHNM-EBAT</v>
          </cell>
          <cell r="C581" t="str">
            <v>VAR_fin</v>
          </cell>
          <cell r="D581" t="str">
            <v>RHNM_ELC</v>
          </cell>
          <cell r="E581">
            <v>1.1357831711912339E-3</v>
          </cell>
          <cell r="F581">
            <v>1.1225861848965294E-3</v>
          </cell>
          <cell r="G581">
            <v>1.1166641962887104E-3</v>
          </cell>
          <cell r="H581">
            <v>2.9652805462470906E-2</v>
          </cell>
          <cell r="I581">
            <v>2.1530886412121881E-2</v>
          </cell>
          <cell r="J581">
            <v>1.4012516016954555E-2</v>
          </cell>
        </row>
        <row r="582">
          <cell r="B582" t="str">
            <v>RHNM-EBAT</v>
          </cell>
          <cell r="C582" t="str">
            <v>VAR_fin</v>
          </cell>
          <cell r="D582" t="str">
            <v>AUX_RHNM-EBAT_IN</v>
          </cell>
          <cell r="E582">
            <v>1.1357831711912339E-3</v>
          </cell>
          <cell r="F582">
            <v>1.1225861848965294E-3</v>
          </cell>
          <cell r="G582">
            <v>1.1166641962887104E-3</v>
          </cell>
          <cell r="H582">
            <v>2.9652805462470906E-2</v>
          </cell>
          <cell r="I582">
            <v>2.1530886412121881E-2</v>
          </cell>
          <cell r="J582">
            <v>1.4012516016954555E-2</v>
          </cell>
        </row>
        <row r="583">
          <cell r="B583" t="str">
            <v>RHNM-EBAT</v>
          </cell>
          <cell r="C583" t="str">
            <v>VAR_ncap</v>
          </cell>
          <cell r="D583" t="str">
            <v>-</v>
          </cell>
          <cell r="E583">
            <v>4.0843408296320998E-4</v>
          </cell>
          <cell r="F583">
            <v>6.4248620920592201E-7</v>
          </cell>
          <cell r="G583">
            <v>1.8270459091421E-6</v>
          </cell>
          <cell r="H583">
            <v>1.47287683607662E-2</v>
          </cell>
          <cell r="I583">
            <v>4.3582978829952296E-3</v>
          </cell>
          <cell r="J583">
            <v>2.82531142807124E-3</v>
          </cell>
        </row>
        <row r="584">
          <cell r="B584" t="str">
            <v>RHNM-EBAT</v>
          </cell>
          <cell r="C584" t="str">
            <v>VAR_cap</v>
          </cell>
          <cell r="D584" t="str">
            <v>-</v>
          </cell>
          <cell r="E584">
            <v>4.1113076084944405E-4</v>
          </cell>
          <cell r="F584">
            <v>4.1153801594191627E-4</v>
          </cell>
          <cell r="G584">
            <v>4.129557593493164E-4</v>
          </cell>
          <cell r="H584">
            <v>1.502930953210571E-2</v>
          </cell>
          <cell r="I584">
            <v>7.9959673257328744E-3</v>
          </cell>
          <cell r="J584">
            <v>5.1913879015615333E-3</v>
          </cell>
        </row>
        <row r="585">
          <cell r="B585" t="str">
            <v>ITOT-CHPWST</v>
          </cell>
          <cell r="C585" t="str">
            <v>VAR_fout</v>
          </cell>
          <cell r="D585" t="str">
            <v>ITOT_LTH_CHP</v>
          </cell>
          <cell r="E585">
            <v>1.9349254428169831</v>
          </cell>
          <cell r="F585">
            <v>1.8587918092655271</v>
          </cell>
          <cell r="G585">
            <v>2.5503082954781395</v>
          </cell>
          <cell r="H585">
            <v>2.2433593950249899</v>
          </cell>
          <cell r="I585">
            <v>1.6589366192440307</v>
          </cell>
          <cell r="J585">
            <v>1.0997786029778243</v>
          </cell>
        </row>
        <row r="586">
          <cell r="B586" t="str">
            <v>ITOT-CHPWST</v>
          </cell>
          <cell r="C586" t="str">
            <v>VAR_fout</v>
          </cell>
          <cell r="D586" t="str">
            <v>ITOT_KEV_WST_ELC_CHP</v>
          </cell>
          <cell r="E586">
            <v>0.23005734825103194</v>
          </cell>
          <cell r="F586">
            <v>0.23016061243705532</v>
          </cell>
          <cell r="G586">
            <v>0.33670874936626743</v>
          </cell>
          <cell r="H586">
            <v>0.33294980798623131</v>
          </cell>
          <cell r="I586">
            <v>0.32752692353389001</v>
          </cell>
          <cell r="J586">
            <v>0.32420354638698484</v>
          </cell>
        </row>
        <row r="587">
          <cell r="B587" t="str">
            <v>ITOT-CHPWST</v>
          </cell>
          <cell r="C587" t="str">
            <v>VAR_fout</v>
          </cell>
          <cell r="D587" t="str">
            <v>CO2_I</v>
          </cell>
          <cell r="E587">
            <v>344.47235006031099</v>
          </cell>
          <cell r="F587">
            <v>344.64632694146297</v>
          </cell>
          <cell r="G587">
            <v>504.19937916370299</v>
          </cell>
          <cell r="H587">
            <v>498.57060974890697</v>
          </cell>
          <cell r="I587">
            <v>490.45019416929</v>
          </cell>
          <cell r="J587">
            <v>485.47365376946402</v>
          </cell>
        </row>
        <row r="588">
          <cell r="B588" t="str">
            <v>ITOT-CHPWST</v>
          </cell>
          <cell r="C588" t="str">
            <v>VAR_fin</v>
          </cell>
          <cell r="D588" t="str">
            <v>IWST</v>
          </cell>
          <cell r="E588">
            <v>3.7119865308223172</v>
          </cell>
          <cell r="F588">
            <v>3.7138612816967931</v>
          </cell>
          <cell r="G588">
            <v>5.4331829651261083</v>
          </cell>
          <cell r="H588">
            <v>5.3725281222942556</v>
          </cell>
          <cell r="I588">
            <v>5.2850236440656237</v>
          </cell>
          <cell r="J588">
            <v>5.2313971311364602</v>
          </cell>
        </row>
        <row r="589">
          <cell r="B589" t="str">
            <v>ITOT-CHPWST</v>
          </cell>
          <cell r="C589" t="str">
            <v>VAR_ncap</v>
          </cell>
          <cell r="D589" t="str">
            <v>-</v>
          </cell>
          <cell r="F589">
            <v>1.17835612412212E-7</v>
          </cell>
          <cell r="G589">
            <v>1.13296507951937E-7</v>
          </cell>
          <cell r="H589">
            <v>8.5309476674271195E-4</v>
          </cell>
          <cell r="I589">
            <v>1.8455409581620999E-3</v>
          </cell>
          <cell r="J589">
            <v>2.2239529465157199E-3</v>
          </cell>
        </row>
        <row r="590">
          <cell r="B590" t="str">
            <v>ITOT-CHPWST</v>
          </cell>
          <cell r="C590" t="str">
            <v>VAR_cap</v>
          </cell>
          <cell r="D590" t="str">
            <v>-</v>
          </cell>
          <cell r="E590">
            <v>4.7534485667409462E-2</v>
          </cell>
          <cell r="F590">
            <v>1.5252156083494915E-2</v>
          </cell>
          <cell r="G590">
            <v>1.5251624716263665E-2</v>
          </cell>
          <cell r="H590">
            <v>1.3546584338587575E-2</v>
          </cell>
          <cell r="I590">
            <v>1.4434982311066932E-2</v>
          </cell>
          <cell r="J590">
            <v>1.3190152490632987E-2</v>
          </cell>
        </row>
        <row r="591">
          <cell r="B591" t="str">
            <v>CAES-EBAT</v>
          </cell>
          <cell r="C591" t="str">
            <v>VAR_fout</v>
          </cell>
          <cell r="D591" t="str">
            <v>ELC13</v>
          </cell>
          <cell r="E591">
            <v>9.4552818867075186E-2</v>
          </cell>
          <cell r="F591">
            <v>8.5653396071115311E-3</v>
          </cell>
          <cell r="G591">
            <v>9.4511491869957734E-2</v>
          </cell>
          <cell r="H591">
            <v>3.7705700703371807E-2</v>
          </cell>
          <cell r="I591">
            <v>9.4464787901083758E-2</v>
          </cell>
          <cell r="J591">
            <v>9.4498112511364682E-2</v>
          </cell>
        </row>
        <row r="592">
          <cell r="B592" t="str">
            <v>CAES-EBAT</v>
          </cell>
          <cell r="C592" t="str">
            <v>VAR_fout</v>
          </cell>
          <cell r="D592" t="str">
            <v>AUX_CAES_OUT</v>
          </cell>
          <cell r="E592">
            <v>9.4552818867075117E-2</v>
          </cell>
          <cell r="F592">
            <v>8.5653396071115277E-3</v>
          </cell>
          <cell r="G592">
            <v>9.4511491869957637E-2</v>
          </cell>
          <cell r="H592">
            <v>3.7705700703371793E-2</v>
          </cell>
          <cell r="I592">
            <v>9.4464787901083702E-2</v>
          </cell>
          <cell r="J592">
            <v>9.4498112511364682E-2</v>
          </cell>
        </row>
        <row r="593">
          <cell r="B593" t="str">
            <v>CAES-EBAT</v>
          </cell>
          <cell r="C593" t="str">
            <v>VAR_fin</v>
          </cell>
          <cell r="D593" t="str">
            <v>ELC13</v>
          </cell>
          <cell r="E593">
            <v>0.13509641579725434</v>
          </cell>
          <cell r="F593">
            <v>1.2250112590542738E-2</v>
          </cell>
          <cell r="G593">
            <v>0.13501649941244928</v>
          </cell>
          <cell r="H593">
            <v>5.3868994623559339E-2</v>
          </cell>
          <cell r="I593">
            <v>0.13495502498373371</v>
          </cell>
          <cell r="J593">
            <v>0.13500082670189084</v>
          </cell>
        </row>
        <row r="594">
          <cell r="B594" t="str">
            <v>CAES-EBAT</v>
          </cell>
          <cell r="C594" t="str">
            <v>VAR_fin</v>
          </cell>
          <cell r="D594" t="str">
            <v>AUX_CAES_IN</v>
          </cell>
          <cell r="E594">
            <v>0.13509641579725434</v>
          </cell>
          <cell r="F594">
            <v>1.2250112590542738E-2</v>
          </cell>
          <cell r="G594">
            <v>0.13501649941244928</v>
          </cell>
          <cell r="H594">
            <v>5.3868994623559339E-2</v>
          </cell>
          <cell r="I594">
            <v>0.13495502498373371</v>
          </cell>
          <cell r="J594">
            <v>0.13500082670189084</v>
          </cell>
        </row>
        <row r="595">
          <cell r="B595" t="str">
            <v>CAES-EBAT</v>
          </cell>
          <cell r="C595" t="str">
            <v>VAR_ncap</v>
          </cell>
          <cell r="D595" t="str">
            <v>-</v>
          </cell>
          <cell r="F595">
            <v>2.4109371520882398E-7</v>
          </cell>
          <cell r="G595">
            <v>2.6130472065303902E-7</v>
          </cell>
          <cell r="H595">
            <v>2.6681208096196401E-7</v>
          </cell>
          <cell r="I595">
            <v>7.8519463025142597E-7</v>
          </cell>
          <cell r="J595">
            <v>6.2349467859868798E-7</v>
          </cell>
        </row>
        <row r="596">
          <cell r="B596" t="str">
            <v>CAES-EBAT</v>
          </cell>
          <cell r="C596" t="str">
            <v>VAR_cap</v>
          </cell>
          <cell r="D596" t="str">
            <v>-</v>
          </cell>
          <cell r="E596">
            <v>0.1</v>
          </cell>
          <cell r="F596">
            <v>9.9997204215070301E-2</v>
          </cell>
          <cell r="G596">
            <v>9.9996810575134237E-2</v>
          </cell>
          <cell r="H596">
            <v>9.9996579743461614E-2</v>
          </cell>
          <cell r="I596">
            <v>9.9997355823325473E-2</v>
          </cell>
          <cell r="J596">
            <v>9.9998208857812618E-2</v>
          </cell>
        </row>
        <row r="597">
          <cell r="B597" t="str">
            <v>HPLSOL</v>
          </cell>
          <cell r="C597" t="str">
            <v>VAR_fout</v>
          </cell>
          <cell r="D597" t="str">
            <v>LTH</v>
          </cell>
          <cell r="H597">
            <v>3.7235337147566177E-5</v>
          </cell>
          <cell r="I597">
            <v>4.3238955235127233E-5</v>
          </cell>
          <cell r="J597">
            <v>4.3748747265202748E-5</v>
          </cell>
        </row>
        <row r="598">
          <cell r="B598" t="str">
            <v>HPLSOL</v>
          </cell>
          <cell r="C598" t="str">
            <v>VAR_fin</v>
          </cell>
          <cell r="D598" t="str">
            <v>SOL</v>
          </cell>
          <cell r="H598">
            <v>3.7235337147566177E-5</v>
          </cell>
          <cell r="I598">
            <v>4.3238955235127233E-5</v>
          </cell>
          <cell r="J598">
            <v>4.3748747265202748E-5</v>
          </cell>
        </row>
        <row r="599">
          <cell r="B599" t="str">
            <v>HPLSOL</v>
          </cell>
          <cell r="C599" t="str">
            <v>VAR_fin</v>
          </cell>
          <cell r="D599" t="str">
            <v>SOLPVC</v>
          </cell>
          <cell r="H599">
            <v>3.7235337147566198E-5</v>
          </cell>
          <cell r="I599">
            <v>4.3238955235127199E-5</v>
          </cell>
          <cell r="J599">
            <v>4.3748747265202701E-5</v>
          </cell>
        </row>
        <row r="600">
          <cell r="B600" t="str">
            <v>HPLSOL</v>
          </cell>
          <cell r="C600" t="str">
            <v>VAR_ncap</v>
          </cell>
          <cell r="D600" t="str">
            <v>-</v>
          </cell>
          <cell r="H600">
            <v>7.5371577598290303E-6</v>
          </cell>
          <cell r="I600">
            <v>6.2727611533004097E-7</v>
          </cell>
          <cell r="J600">
            <v>3.8742744069721101E-6</v>
          </cell>
        </row>
        <row r="601">
          <cell r="B601" t="str">
            <v>HPLSOL</v>
          </cell>
          <cell r="C601" t="str">
            <v>VAR_cap</v>
          </cell>
          <cell r="D601" t="str">
            <v>-</v>
          </cell>
          <cell r="H601">
            <v>7.5371577598290303E-6</v>
          </cell>
          <cell r="I601">
            <v>1.0954306060331E-5</v>
          </cell>
          <cell r="J601">
            <v>8.6846212822829392E-6</v>
          </cell>
        </row>
        <row r="602">
          <cell r="B602" t="str">
            <v>RHEM-CHPNGA</v>
          </cell>
          <cell r="C602" t="str">
            <v>VAR_fout</v>
          </cell>
          <cell r="D602" t="str">
            <v>CO2_R</v>
          </cell>
          <cell r="E602">
            <v>6.3107794945720901</v>
          </cell>
          <cell r="F602">
            <v>0.24525007967017601</v>
          </cell>
          <cell r="G602">
            <v>0.83519070730766498</v>
          </cell>
          <cell r="H602">
            <v>62.859187386962802</v>
          </cell>
          <cell r="I602">
            <v>344.93832605788498</v>
          </cell>
          <cell r="J602">
            <v>285.50584734526001</v>
          </cell>
        </row>
        <row r="603">
          <cell r="B603" t="str">
            <v>RHEM-CHPNGA</v>
          </cell>
          <cell r="C603" t="str">
            <v>VAR_fout</v>
          </cell>
          <cell r="D603" t="str">
            <v>RHEM_LTH_CHPNGA</v>
          </cell>
          <cell r="E603">
            <v>6.1019071508867893E-2</v>
          </cell>
          <cell r="F603">
            <v>2.6972850342354615E-3</v>
          </cell>
          <cell r="G603">
            <v>7.8700922348476764E-3</v>
          </cell>
          <cell r="H603">
            <v>0.69050752107503666</v>
          </cell>
          <cell r="I603">
            <v>3.7450264783302907</v>
          </cell>
          <cell r="J603">
            <v>3.0671471794807976</v>
          </cell>
        </row>
        <row r="604">
          <cell r="B604" t="str">
            <v>RHEM-CHPNGA</v>
          </cell>
          <cell r="C604" t="str">
            <v>VAR_fout</v>
          </cell>
          <cell r="D604" t="str">
            <v>RHEM_NKEV_GAS_ELC_CHP</v>
          </cell>
          <cell r="E604">
            <v>2.8088144027891546E-2</v>
          </cell>
          <cell r="F604">
            <v>1.2538138383120585E-3</v>
          </cell>
          <cell r="G604">
            <v>3.7131129307578499E-3</v>
          </cell>
          <cell r="H604">
            <v>0.33411654245566286</v>
          </cell>
          <cell r="I604">
            <v>1.8572895542938841</v>
          </cell>
          <cell r="J604">
            <v>1.5587141403918821</v>
          </cell>
        </row>
        <row r="605">
          <cell r="B605" t="str">
            <v>RHEM-CHPNGA</v>
          </cell>
          <cell r="C605" t="str">
            <v>VAR_fin</v>
          </cell>
          <cell r="D605" t="str">
            <v>RNGA</v>
          </cell>
          <cell r="E605">
            <v>0.11189325344985983</v>
          </cell>
          <cell r="F605">
            <v>4.3484056679109076E-3</v>
          </cell>
          <cell r="G605">
            <v>1.4808345874249378E-2</v>
          </cell>
          <cell r="H605">
            <v>1.1145245990596242</v>
          </cell>
          <cell r="I605">
            <v>6.1159277669837744</v>
          </cell>
          <cell r="J605">
            <v>5.0621604139230501</v>
          </cell>
        </row>
        <row r="606">
          <cell r="B606" t="str">
            <v>RHEM-CHPNGA</v>
          </cell>
          <cell r="C606" t="str">
            <v>VAR_ncap</v>
          </cell>
          <cell r="D606" t="str">
            <v>-</v>
          </cell>
          <cell r="F606">
            <v>5.5335001442941297E-8</v>
          </cell>
          <cell r="G606">
            <v>2.40776835973903E-6</v>
          </cell>
          <cell r="H606">
            <v>2.4414457138342099E-2</v>
          </cell>
          <cell r="I606">
            <v>9.3755271776860702E-2</v>
          </cell>
          <cell r="J606">
            <v>7.9584952754486802E-6</v>
          </cell>
        </row>
        <row r="607">
          <cell r="B607" t="str">
            <v>RHEM-CHPNGA</v>
          </cell>
          <cell r="C607" t="str">
            <v>VAR_cap</v>
          </cell>
          <cell r="D607" t="str">
            <v>-</v>
          </cell>
          <cell r="E607">
            <v>8.4798297676874912E-3</v>
          </cell>
          <cell r="F607">
            <v>3.7554658252216509E-4</v>
          </cell>
          <cell r="G607">
            <v>3.7805169358980269E-4</v>
          </cell>
          <cell r="H607">
            <v>2.4792477298793213E-2</v>
          </cell>
          <cell r="I607">
            <v>0.13781729774682727</v>
          </cell>
          <cell r="J607">
            <v>0.11566183575011887</v>
          </cell>
        </row>
        <row r="608">
          <cell r="B608" t="str">
            <v>D-DH2</v>
          </cell>
          <cell r="C608" t="str">
            <v>VAR_fout</v>
          </cell>
          <cell r="D608" t="str">
            <v>H2</v>
          </cell>
          <cell r="H608">
            <v>1.3084518732305474E-6</v>
          </cell>
          <cell r="I608">
            <v>1.1601427794937578E-3</v>
          </cell>
          <cell r="J608">
            <v>1.4644650197779556E-3</v>
          </cell>
        </row>
        <row r="609">
          <cell r="B609" t="str">
            <v>D-DH2</v>
          </cell>
          <cell r="C609" t="str">
            <v>VAR_fin</v>
          </cell>
          <cell r="D609" t="str">
            <v>H2_E</v>
          </cell>
          <cell r="H609">
            <v>1.3216685588187349E-6</v>
          </cell>
          <cell r="I609">
            <v>1.1718613934280377E-3</v>
          </cell>
          <cell r="J609">
            <v>1.4792575957353084E-3</v>
          </cell>
        </row>
        <row r="610">
          <cell r="B610" t="str">
            <v>D-DH2</v>
          </cell>
          <cell r="C610" t="str">
            <v>VAR_ncap</v>
          </cell>
          <cell r="D610" t="str">
            <v>-</v>
          </cell>
          <cell r="H610">
            <v>3.2740771332749999E-5</v>
          </cell>
          <cell r="I610">
            <v>1.9086199716233701E-4</v>
          </cell>
          <cell r="J610">
            <v>7.6013390606173398E-6</v>
          </cell>
        </row>
        <row r="611">
          <cell r="B611" t="str">
            <v>D-DH2</v>
          </cell>
          <cell r="C611" t="str">
            <v>VAR_cap</v>
          </cell>
          <cell r="D611" t="str">
            <v>-</v>
          </cell>
          <cell r="H611">
            <v>3.2740771332749999E-5</v>
          </cell>
          <cell r="I611">
            <v>2.6420295755738701E-4</v>
          </cell>
          <cell r="J611">
            <v>2.7180429661800501E-4</v>
          </cell>
        </row>
        <row r="612">
          <cell r="B612" t="str">
            <v>D-SBIO</v>
          </cell>
          <cell r="C612" t="str">
            <v>VAR_fout</v>
          </cell>
          <cell r="D612" t="str">
            <v>SBIO</v>
          </cell>
          <cell r="E612">
            <v>4.0476936330609803</v>
          </cell>
          <cell r="F612">
            <v>4.5833927610403133</v>
          </cell>
          <cell r="G612">
            <v>3.0429674361159353</v>
          </cell>
          <cell r="H612">
            <v>3.0323172320813758</v>
          </cell>
          <cell r="I612">
            <v>2.9499449547139158</v>
          </cell>
          <cell r="J612">
            <v>2.8714667610033597</v>
          </cell>
        </row>
        <row r="613">
          <cell r="B613" t="str">
            <v>D-SBIO</v>
          </cell>
          <cell r="C613" t="str">
            <v>VAR_fin</v>
          </cell>
          <cell r="D613" t="str">
            <v>BIO</v>
          </cell>
          <cell r="E613">
            <v>4.0476936330609803</v>
          </cell>
          <cell r="F613">
            <v>4.5833927610403133</v>
          </cell>
          <cell r="G613">
            <v>3.0429674361159353</v>
          </cell>
          <cell r="H613">
            <v>3.0323172320813758</v>
          </cell>
          <cell r="I613">
            <v>2.9499449547139158</v>
          </cell>
          <cell r="J613">
            <v>2.8714667610033597</v>
          </cell>
        </row>
        <row r="614">
          <cell r="B614" t="str">
            <v>SCOM-CHPBIO</v>
          </cell>
          <cell r="C614" t="str">
            <v>VAR_fout</v>
          </cell>
          <cell r="D614" t="str">
            <v>SCOM_LTH_CHPBIO</v>
          </cell>
          <cell r="E614">
            <v>1.4243287717123752</v>
          </cell>
          <cell r="F614">
            <v>1.5783458015457386</v>
          </cell>
          <cell r="G614">
            <v>1.4829422563040695</v>
          </cell>
          <cell r="H614">
            <v>1.3239316023850431</v>
          </cell>
          <cell r="I614">
            <v>1.005923199244338</v>
          </cell>
          <cell r="J614">
            <v>1.0059233034934909</v>
          </cell>
        </row>
        <row r="615">
          <cell r="B615" t="str">
            <v>SCOM-CHPBIO</v>
          </cell>
          <cell r="C615" t="str">
            <v>VAR_fout</v>
          </cell>
          <cell r="D615" t="str">
            <v>SCOM_KEV_BIO_ELC_CHP</v>
          </cell>
          <cell r="E615">
            <v>0.95937835271700411</v>
          </cell>
          <cell r="F615">
            <v>1.1059591031754912</v>
          </cell>
          <cell r="G615">
            <v>1.1059589226330457</v>
          </cell>
          <cell r="H615">
            <v>1.1059545999885736</v>
          </cell>
          <cell r="I615">
            <v>1.1059560430382105</v>
          </cell>
          <cell r="J615">
            <v>1.1059561576542958</v>
          </cell>
        </row>
        <row r="616">
          <cell r="B616" t="str">
            <v>SCOM-CHPBIO</v>
          </cell>
          <cell r="C616" t="str">
            <v>VAR_fin</v>
          </cell>
          <cell r="D616" t="str">
            <v>SBIO</v>
          </cell>
          <cell r="E616">
            <v>2.6454072062041827</v>
          </cell>
          <cell r="F616">
            <v>3.0461578512680063</v>
          </cell>
          <cell r="G616">
            <v>3.0429674361159353</v>
          </cell>
          <cell r="H616">
            <v>3.0323172320813758</v>
          </cell>
          <cell r="I616">
            <v>2.9499449547139158</v>
          </cell>
          <cell r="J616">
            <v>2.8714667610033597</v>
          </cell>
        </row>
        <row r="617">
          <cell r="B617" t="str">
            <v>SCOM-CHPBIO</v>
          </cell>
          <cell r="C617" t="str">
            <v>VAR_ncap</v>
          </cell>
          <cell r="D617" t="str">
            <v>-</v>
          </cell>
          <cell r="F617">
            <v>2.6188588999241699E-2</v>
          </cell>
          <cell r="G617">
            <v>6.5673508513840002E-3</v>
          </cell>
          <cell r="H617">
            <v>1.22216642623117E-2</v>
          </cell>
          <cell r="I617">
            <v>3.11529619035033E-2</v>
          </cell>
          <cell r="J617">
            <v>4.3489972275047799E-2</v>
          </cell>
        </row>
        <row r="618">
          <cell r="B618" t="str">
            <v>SCOM-CHPBIO</v>
          </cell>
          <cell r="C618" t="str">
            <v>VAR_cap</v>
          </cell>
          <cell r="D618" t="str">
            <v>-</v>
          </cell>
          <cell r="E618">
            <v>7.3512223967056908E-2</v>
          </cell>
          <cell r="F618">
            <v>8.4745513097456843E-2</v>
          </cell>
          <cell r="G618">
            <v>8.4745105171691121E-2</v>
          </cell>
          <cell r="H618">
            <v>8.4745652633710478E-2</v>
          </cell>
          <cell r="I618">
            <v>8.4745572815094428E-2</v>
          </cell>
          <cell r="J618">
            <v>8.4745240950569858E-2</v>
          </cell>
        </row>
        <row r="619">
          <cell r="B619" t="str">
            <v>RHES-EBAT</v>
          </cell>
          <cell r="C619" t="str">
            <v>VAR_fout</v>
          </cell>
          <cell r="D619" t="str">
            <v>RHES_ELC</v>
          </cell>
          <cell r="E619">
            <v>1.0138177140462702E-3</v>
          </cell>
          <cell r="F619">
            <v>1.004703306704048E-3</v>
          </cell>
          <cell r="G619">
            <v>1.0073062725476293E-3</v>
          </cell>
          <cell r="H619">
            <v>2.6708570306549807E-2</v>
          </cell>
          <cell r="I619">
            <v>1.7037543468289881E-2</v>
          </cell>
          <cell r="J619">
            <v>1.2670725785653628E-2</v>
          </cell>
        </row>
        <row r="620">
          <cell r="B620" t="str">
            <v>RHES-EBAT</v>
          </cell>
          <cell r="C620" t="str">
            <v>VAR_fout</v>
          </cell>
          <cell r="D620" t="str">
            <v>AUX_RHES-EBAT_OUT</v>
          </cell>
          <cell r="E620">
            <v>1.0138177140462709E-3</v>
          </cell>
          <cell r="F620">
            <v>1.0047033067040493E-3</v>
          </cell>
          <cell r="G620">
            <v>1.0073062725476302E-3</v>
          </cell>
          <cell r="H620">
            <v>2.6708570306549835E-2</v>
          </cell>
          <cell r="I620">
            <v>1.7037543468289892E-2</v>
          </cell>
          <cell r="J620">
            <v>1.2670725785653642E-2</v>
          </cell>
        </row>
        <row r="621">
          <cell r="B621" t="str">
            <v>RHES-EBAT</v>
          </cell>
          <cell r="C621" t="str">
            <v>VAR_fin</v>
          </cell>
          <cell r="D621" t="str">
            <v>RHES_ELC</v>
          </cell>
          <cell r="E621">
            <v>1.1361169933962853E-3</v>
          </cell>
          <cell r="F621">
            <v>1.1229146936567224E-3</v>
          </cell>
          <cell r="G621">
            <v>1.1152850478652414E-3</v>
          </cell>
          <cell r="H621">
            <v>2.953859149233834E-2</v>
          </cell>
          <cell r="I621">
            <v>1.8842399710782925E-2</v>
          </cell>
          <cell r="J621">
            <v>1.401371661447252E-2</v>
          </cell>
        </row>
        <row r="622">
          <cell r="B622" t="str">
            <v>RHES-EBAT</v>
          </cell>
          <cell r="C622" t="str">
            <v>VAR_fin</v>
          </cell>
          <cell r="D622" t="str">
            <v>AUX_RHES-EBAT_IN</v>
          </cell>
          <cell r="E622">
            <v>1.1361169933962853E-3</v>
          </cell>
          <cell r="F622">
            <v>1.1229146936567224E-3</v>
          </cell>
          <cell r="G622">
            <v>1.1152850478652414E-3</v>
          </cell>
          <cell r="H622">
            <v>2.953859149233834E-2</v>
          </cell>
          <cell r="I622">
            <v>1.8842399710782925E-2</v>
          </cell>
          <cell r="J622">
            <v>1.401371661447252E-2</v>
          </cell>
        </row>
        <row r="623">
          <cell r="B623" t="str">
            <v>RHES-EBAT</v>
          </cell>
          <cell r="C623" t="str">
            <v>VAR_ncap</v>
          </cell>
          <cell r="D623" t="str">
            <v>-</v>
          </cell>
          <cell r="E623">
            <v>4.0855515869676402E-4</v>
          </cell>
          <cell r="F623">
            <v>6.4239862334285201E-7</v>
          </cell>
          <cell r="G623">
            <v>1.82835976044009E-6</v>
          </cell>
          <cell r="H623">
            <v>1.46835544815875E-2</v>
          </cell>
          <cell r="I623">
            <v>3.3908323159193899E-3</v>
          </cell>
          <cell r="J623">
            <v>3.3154298490502602E-3</v>
          </cell>
        </row>
        <row r="624">
          <cell r="B624" t="str">
            <v>RHES-EBAT</v>
          </cell>
          <cell r="C624" t="str">
            <v>VAR_cap</v>
          </cell>
          <cell r="D624" t="str">
            <v>-</v>
          </cell>
          <cell r="E624">
            <v>4.1125179373664744E-4</v>
          </cell>
          <cell r="F624">
            <v>4.1165882583861561E-4</v>
          </cell>
          <cell r="G624">
            <v>4.1307856207164898E-4</v>
          </cell>
          <cell r="H624">
            <v>1.4984184651497326E-2</v>
          </cell>
          <cell r="I624">
            <v>6.9949862593750942E-3</v>
          </cell>
          <cell r="J624">
            <v>5.1918410928366394E-3</v>
          </cell>
        </row>
        <row r="625">
          <cell r="B625" t="str">
            <v>D-INGA</v>
          </cell>
          <cell r="C625" t="str">
            <v>VAR_fout</v>
          </cell>
          <cell r="D625" t="str">
            <v>CO2</v>
          </cell>
          <cell r="E625">
            <v>2101.66037881376</v>
          </cell>
          <cell r="F625">
            <v>1700.0385497565301</v>
          </cell>
          <cell r="G625">
            <v>1855.82093028534</v>
          </cell>
          <cell r="H625">
            <v>1668.16340155683</v>
          </cell>
          <cell r="I625">
            <v>1426.1212652803599</v>
          </cell>
          <cell r="J625">
            <v>1050.8783012149399</v>
          </cell>
        </row>
        <row r="626">
          <cell r="B626" t="str">
            <v>D-INGA</v>
          </cell>
          <cell r="C626" t="str">
            <v>VAR_fout</v>
          </cell>
          <cell r="D626" t="str">
            <v>IH2</v>
          </cell>
          <cell r="H626">
            <v>2.0406037286472788E-2</v>
          </cell>
          <cell r="I626">
            <v>0.16457928006302489</v>
          </cell>
          <cell r="J626">
            <v>0.12903705357638753</v>
          </cell>
        </row>
        <row r="627">
          <cell r="B627" t="str">
            <v>D-INGA</v>
          </cell>
          <cell r="C627" t="str">
            <v>VAR_fout</v>
          </cell>
          <cell r="D627" t="str">
            <v>INGA</v>
          </cell>
          <cell r="E627">
            <v>37.473517315294444</v>
          </cell>
          <cell r="F627">
            <v>30.046591256912151</v>
          </cell>
          <cell r="G627">
            <v>33.704913816987265</v>
          </cell>
          <cell r="H627">
            <v>32.125696162048008</v>
          </cell>
          <cell r="I627">
            <v>27.847388830166523</v>
          </cell>
          <cell r="J627">
            <v>21.215435552027344</v>
          </cell>
        </row>
        <row r="628">
          <cell r="B628" t="str">
            <v>D-INGA</v>
          </cell>
          <cell r="C628" t="str">
            <v>VAR_fin</v>
          </cell>
          <cell r="D628" t="str">
            <v>NGA</v>
          </cell>
          <cell r="E628">
            <v>37.26348189386102</v>
          </cell>
          <cell r="F628">
            <v>30.142527477952704</v>
          </cell>
          <cell r="G628">
            <v>32.904626423498897</v>
          </cell>
          <cell r="H628">
            <v>29.577365275830321</v>
          </cell>
          <cell r="I628">
            <v>25.285838036885767</v>
          </cell>
          <cell r="J628">
            <v>18.63259399317263</v>
          </cell>
        </row>
        <row r="629">
          <cell r="B629" t="str">
            <v>D-INGA</v>
          </cell>
          <cell r="C629" t="str">
            <v>VAR_fin</v>
          </cell>
          <cell r="D629" t="str">
            <v>BNGA</v>
          </cell>
          <cell r="E629">
            <v>0.32974905388242864</v>
          </cell>
          <cell r="F629">
            <v>5.7981873990979543E-5</v>
          </cell>
          <cell r="G629">
            <v>0.90796177138208645</v>
          </cell>
          <cell r="H629">
            <v>2.6510380657823656</v>
          </cell>
          <cell r="I629">
            <v>2.6510428934156205</v>
          </cell>
          <cell r="J629">
            <v>2.651052562890726</v>
          </cell>
        </row>
        <row r="630">
          <cell r="B630" t="str">
            <v>D-INGA</v>
          </cell>
          <cell r="C630" t="str">
            <v>VAR_fin</v>
          </cell>
          <cell r="D630" t="str">
            <v>H2</v>
          </cell>
          <cell r="H630">
            <v>2.0404272558941023E-2</v>
          </cell>
          <cell r="I630">
            <v>0.16456973562123492</v>
          </cell>
          <cell r="J630">
            <v>0.12902750913438518</v>
          </cell>
        </row>
        <row r="631">
          <cell r="B631" t="str">
            <v>D-INGA</v>
          </cell>
          <cell r="C631" t="str">
            <v>VAR_ncap</v>
          </cell>
          <cell r="D631" t="str">
            <v>-</v>
          </cell>
          <cell r="E631">
            <v>8.04505053450423E-7</v>
          </cell>
          <cell r="F631">
            <v>3.7094133772627701E-7</v>
          </cell>
          <cell r="G631">
            <v>4.6653414483232102E-7</v>
          </cell>
          <cell r="H631">
            <v>6.5808292464419396E-7</v>
          </cell>
          <cell r="I631">
            <v>1.3841552841750099E-6</v>
          </cell>
          <cell r="J631">
            <v>2.5606579562270898E-6</v>
          </cell>
        </row>
        <row r="632">
          <cell r="B632" t="str">
            <v>D-INGA</v>
          </cell>
          <cell r="C632" t="str">
            <v>VAR_cap</v>
          </cell>
          <cell r="D632" t="str">
            <v>-</v>
          </cell>
          <cell r="E632">
            <v>1.9844841747711535</v>
          </cell>
          <cell r="F632">
            <v>1.9844845457124911</v>
          </cell>
          <cell r="G632">
            <v>1.984485012246636</v>
          </cell>
          <cell r="H632">
            <v>1.9844856703295606</v>
          </cell>
          <cell r="I632">
            <v>1.9844880910597686</v>
          </cell>
          <cell r="J632">
            <v>1.0954667188975447</v>
          </cell>
        </row>
        <row r="633">
          <cell r="B633" t="str">
            <v>EWIND</v>
          </cell>
          <cell r="C633" t="str">
            <v>VAR_fout</v>
          </cell>
          <cell r="D633" t="str">
            <v>ELC35</v>
          </cell>
          <cell r="E633">
            <v>0.52400000000000047</v>
          </cell>
          <cell r="F633">
            <v>0.54529218817233771</v>
          </cell>
          <cell r="G633">
            <v>0.50316478650588714</v>
          </cell>
          <cell r="H633">
            <v>0.88470540530052799</v>
          </cell>
          <cell r="I633">
            <v>0.79251205342188069</v>
          </cell>
          <cell r="J633">
            <v>3.1871311584375048</v>
          </cell>
        </row>
        <row r="634">
          <cell r="B634" t="str">
            <v>EWIND</v>
          </cell>
          <cell r="C634" t="str">
            <v>VAR_fin</v>
          </cell>
          <cell r="D634" t="str">
            <v>WND</v>
          </cell>
          <cell r="E634">
            <v>0.52400000000000047</v>
          </cell>
          <cell r="F634">
            <v>0.54529218817233771</v>
          </cell>
          <cell r="G634">
            <v>0.50316478650588714</v>
          </cell>
          <cell r="H634">
            <v>0.88470540530052799</v>
          </cell>
          <cell r="I634">
            <v>0.79251205342188069</v>
          </cell>
          <cell r="J634">
            <v>3.1871311584375048</v>
          </cell>
        </row>
        <row r="635">
          <cell r="B635" t="str">
            <v>EWIND</v>
          </cell>
          <cell r="C635" t="str">
            <v>VAR_ncap</v>
          </cell>
          <cell r="D635" t="str">
            <v>-</v>
          </cell>
          <cell r="F635">
            <v>7.1321414167784597E-3</v>
          </cell>
          <cell r="G635">
            <v>0.123893796935977</v>
          </cell>
          <cell r="H635">
            <v>6.3094352295093301E-5</v>
          </cell>
          <cell r="I635">
            <v>1.1472340146666001E-5</v>
          </cell>
          <cell r="J635">
            <v>2.3502420949941598</v>
          </cell>
        </row>
        <row r="636">
          <cell r="B636" t="str">
            <v>EWIND</v>
          </cell>
          <cell r="C636" t="str">
            <v>VAR_cap</v>
          </cell>
          <cell r="D636" t="str">
            <v>-</v>
          </cell>
          <cell r="E636">
            <v>8.7120000000000003E-2</v>
          </cell>
          <cell r="F636">
            <v>9.0660029453385652E-2</v>
          </cell>
          <cell r="G636">
            <v>8.3655946947314652E-2</v>
          </cell>
          <cell r="H636">
            <v>0.14709073669056399</v>
          </cell>
          <cell r="I636">
            <v>0.13176658968374469</v>
          </cell>
          <cell r="J636">
            <v>0.52989437544243401</v>
          </cell>
        </row>
        <row r="637">
          <cell r="B637" t="str">
            <v>EGEO</v>
          </cell>
          <cell r="C637" t="str">
            <v>VAR_fout</v>
          </cell>
          <cell r="D637" t="str">
            <v>ELC35</v>
          </cell>
          <cell r="I637">
            <v>3.6658480908556756E-3</v>
          </cell>
          <cell r="J637">
            <v>2.3471715599023037E-2</v>
          </cell>
        </row>
        <row r="638">
          <cell r="B638" t="str">
            <v>EGEO</v>
          </cell>
          <cell r="C638" t="str">
            <v>VAR_fin</v>
          </cell>
          <cell r="D638" t="str">
            <v>GEO</v>
          </cell>
          <cell r="I638">
            <v>2.4438987272371163E-2</v>
          </cell>
          <cell r="J638">
            <v>0.15647810399348697</v>
          </cell>
        </row>
        <row r="639">
          <cell r="B639" t="str">
            <v>EGEO</v>
          </cell>
          <cell r="C639" t="str">
            <v>VAR_ncap</v>
          </cell>
          <cell r="D639" t="str">
            <v>-</v>
          </cell>
          <cell r="I639">
            <v>9.2859915283274798E-4</v>
          </cell>
          <cell r="J639">
            <v>5.6445756285628096E-6</v>
          </cell>
        </row>
        <row r="640">
          <cell r="B640" t="str">
            <v>EGEO</v>
          </cell>
          <cell r="C640" t="str">
            <v>VAR_cap</v>
          </cell>
          <cell r="D640" t="str">
            <v>-</v>
          </cell>
          <cell r="I640">
            <v>1.4537216929298401E-4</v>
          </cell>
          <cell r="J640">
            <v>9.3183126665904092E-4</v>
          </cell>
        </row>
        <row r="641">
          <cell r="B641" t="str">
            <v>D-SPLT</v>
          </cell>
          <cell r="C641" t="str">
            <v>VAR_fout</v>
          </cell>
          <cell r="D641" t="str">
            <v>SPLT</v>
          </cell>
          <cell r="E641">
            <v>2.0856407848310794</v>
          </cell>
          <cell r="F641">
            <v>2.4000964474867272</v>
          </cell>
          <cell r="G641">
            <v>0.66994324270988914</v>
          </cell>
          <cell r="H641">
            <v>1.1252682394587061</v>
          </cell>
          <cell r="I641">
            <v>1.5979276510928426</v>
          </cell>
          <cell r="J641">
            <v>1.9530530208878361</v>
          </cell>
        </row>
        <row r="642">
          <cell r="B642" t="str">
            <v>D-SPLT</v>
          </cell>
          <cell r="C642" t="str">
            <v>VAR_fin</v>
          </cell>
          <cell r="D642" t="str">
            <v>PLT</v>
          </cell>
          <cell r="E642">
            <v>2.0856407848310794</v>
          </cell>
          <cell r="F642">
            <v>2.4000964474867272</v>
          </cell>
          <cell r="G642">
            <v>0.66994324270988914</v>
          </cell>
          <cell r="H642">
            <v>1.1252682394587061</v>
          </cell>
          <cell r="I642">
            <v>1.5979276510928426</v>
          </cell>
          <cell r="J642">
            <v>1.9530530208878361</v>
          </cell>
        </row>
        <row r="643">
          <cell r="B643" t="str">
            <v>RHES-ESOLPV</v>
          </cell>
          <cell r="C643" t="str">
            <v>VAR_fout</v>
          </cell>
          <cell r="D643" t="str">
            <v>RHES_SOL_ELC</v>
          </cell>
          <cell r="E643">
            <v>2.1349390887346629</v>
          </cell>
          <cell r="F643">
            <v>3.3906652547051479</v>
          </cell>
          <cell r="G643">
            <v>4.0404877994215109</v>
          </cell>
          <cell r="H643">
            <v>4.3440848374498611</v>
          </cell>
          <cell r="I643">
            <v>1.5481409844752303</v>
          </cell>
          <cell r="J643">
            <v>1.4228942215361686E-3</v>
          </cell>
        </row>
        <row r="644">
          <cell r="B644" t="str">
            <v>RHES-ESOLPV</v>
          </cell>
          <cell r="C644" t="str">
            <v>VAR_fin</v>
          </cell>
          <cell r="D644" t="str">
            <v>SOL</v>
          </cell>
          <cell r="E644">
            <v>2.1349390887346629</v>
          </cell>
          <cell r="F644">
            <v>3.3906652547051479</v>
          </cell>
          <cell r="G644">
            <v>4.0404877994215109</v>
          </cell>
          <cell r="H644">
            <v>4.3440848374498611</v>
          </cell>
          <cell r="I644">
            <v>1.5481409844752303</v>
          </cell>
          <cell r="J644">
            <v>1.4228942215361686E-3</v>
          </cell>
        </row>
        <row r="645">
          <cell r="B645" t="str">
            <v>RHES-ESOLPV</v>
          </cell>
          <cell r="C645" t="str">
            <v>VAR_fin</v>
          </cell>
          <cell r="D645" t="str">
            <v>SOLPVC</v>
          </cell>
          <cell r="E645">
            <v>2.1349390887346602</v>
          </cell>
          <cell r="F645">
            <v>3.3906652547051399</v>
          </cell>
          <cell r="G645">
            <v>4.04048779942151</v>
          </cell>
          <cell r="H645">
            <v>4.3440848374498602</v>
          </cell>
          <cell r="I645">
            <v>1.5481409844752301</v>
          </cell>
          <cell r="J645">
            <v>1.4228942215361699E-3</v>
          </cell>
        </row>
        <row r="646">
          <cell r="B646" t="str">
            <v>RHES-ESOLPV</v>
          </cell>
          <cell r="C646" t="str">
            <v>VAR_ncap</v>
          </cell>
          <cell r="D646" t="str">
            <v>-</v>
          </cell>
          <cell r="F646">
            <v>3.5882766949259702E-8</v>
          </cell>
          <cell r="G646">
            <v>1.30395814620945E-6</v>
          </cell>
          <cell r="H646">
            <v>2.8992664998949502E-7</v>
          </cell>
          <cell r="I646">
            <v>1.6931550256018399E-6</v>
          </cell>
          <cell r="J646">
            <v>4.1022183461540901E-4</v>
          </cell>
        </row>
        <row r="647">
          <cell r="B647" t="str">
            <v>RHES-ESOLPV</v>
          </cell>
          <cell r="C647" t="str">
            <v>VAR_cap</v>
          </cell>
          <cell r="D647" t="str">
            <v>-</v>
          </cell>
          <cell r="E647">
            <v>0.67885700000000004</v>
          </cell>
          <cell r="F647">
            <v>1.1558999535609169</v>
          </cell>
          <cell r="G647">
            <v>1.2891583398409132</v>
          </cell>
          <cell r="H647">
            <v>1.2522757948239431</v>
          </cell>
          <cell r="I647">
            <v>0.4462893078909963</v>
          </cell>
          <cell r="J647">
            <v>4.1335711373488202E-4</v>
          </cell>
        </row>
        <row r="648">
          <cell r="B648" t="str">
            <v>EHYD-DAM10</v>
          </cell>
          <cell r="C648" t="str">
            <v>VAR_fout</v>
          </cell>
          <cell r="D648" t="str">
            <v>ELC</v>
          </cell>
          <cell r="F648">
            <v>1.1584307093289045E-2</v>
          </cell>
          <cell r="G648">
            <v>4.4922267823508437E-2</v>
          </cell>
          <cell r="H648">
            <v>0.70932502860114888</v>
          </cell>
          <cell r="I648">
            <v>0.72658993661512306</v>
          </cell>
          <cell r="J648">
            <v>0.72107953483927634</v>
          </cell>
        </row>
        <row r="649">
          <cell r="B649" t="str">
            <v>EHYD-DAM10</v>
          </cell>
          <cell r="C649" t="str">
            <v>VAR_fin</v>
          </cell>
          <cell r="D649" t="str">
            <v>HYDD</v>
          </cell>
          <cell r="F649">
            <v>1.1584307093289045E-2</v>
          </cell>
          <cell r="G649">
            <v>4.4922267823508437E-2</v>
          </cell>
          <cell r="H649">
            <v>0.70932502860114888</v>
          </cell>
          <cell r="I649">
            <v>0.72658993661512306</v>
          </cell>
          <cell r="J649">
            <v>0.72107953483927634</v>
          </cell>
        </row>
        <row r="650">
          <cell r="B650" t="str">
            <v>EHYD-DAM10</v>
          </cell>
          <cell r="C650" t="str">
            <v>VAR_ncap</v>
          </cell>
          <cell r="D650" t="str">
            <v>-</v>
          </cell>
          <cell r="F650">
            <v>1.5028626224956E-3</v>
          </cell>
          <cell r="G650">
            <v>3.3500349655587701E-3</v>
          </cell>
          <cell r="H650">
            <v>7.0443498965129997E-2</v>
          </cell>
          <cell r="I650">
            <v>5.2232450884093603E-7</v>
          </cell>
          <cell r="J650">
            <v>4.8035309004325899E-8</v>
          </cell>
        </row>
        <row r="651">
          <cell r="B651" t="str">
            <v>EHYD-DAM10</v>
          </cell>
          <cell r="C651" t="str">
            <v>VAR_cap</v>
          </cell>
          <cell r="D651" t="str">
            <v>-</v>
          </cell>
          <cell r="F651">
            <v>1.5028626224956E-3</v>
          </cell>
          <cell r="G651">
            <v>4.8528975880543796E-3</v>
          </cell>
          <cell r="H651">
            <v>7.5296396553184403E-2</v>
          </cell>
          <cell r="I651">
            <v>7.5298351008733597E-2</v>
          </cell>
          <cell r="J651">
            <v>7.5298399044042605E-2</v>
          </cell>
        </row>
        <row r="652">
          <cell r="B652" t="str">
            <v>DH-EBAT</v>
          </cell>
          <cell r="C652" t="str">
            <v>VAR_fout</v>
          </cell>
          <cell r="D652" t="str">
            <v>ELC35</v>
          </cell>
          <cell r="E652">
            <v>3.1763917290292521E-3</v>
          </cell>
          <cell r="F652">
            <v>2.5180067806022622E-3</v>
          </cell>
          <cell r="G652">
            <v>3.1486225741633408E-3</v>
          </cell>
          <cell r="H652">
            <v>3.0136556763636028E-3</v>
          </cell>
          <cell r="I652">
            <v>1.3904201086758277E-2</v>
          </cell>
          <cell r="J652">
            <v>2.2980242426084957E-2</v>
          </cell>
        </row>
        <row r="653">
          <cell r="B653" t="str">
            <v>DH-EBAT</v>
          </cell>
          <cell r="C653" t="str">
            <v>VAR_fout</v>
          </cell>
          <cell r="D653" t="str">
            <v>AUX_DH-EBAT_OUT</v>
          </cell>
          <cell r="E653">
            <v>3.1763917290292517E-3</v>
          </cell>
          <cell r="F653">
            <v>2.5180067806022605E-3</v>
          </cell>
          <cell r="G653">
            <v>3.1486225741633395E-3</v>
          </cell>
          <cell r="H653">
            <v>3.0136556763636015E-3</v>
          </cell>
          <cell r="I653">
            <v>1.3904201086758272E-2</v>
          </cell>
          <cell r="J653">
            <v>2.2980242426084947E-2</v>
          </cell>
        </row>
        <row r="654">
          <cell r="B654" t="str">
            <v>DH-EBAT</v>
          </cell>
          <cell r="C654" t="str">
            <v>VAR_fin</v>
          </cell>
          <cell r="D654" t="str">
            <v>ELC35</v>
          </cell>
          <cell r="E654">
            <v>3.5564309424991384E-3</v>
          </cell>
          <cell r="F654">
            <v>2.8166449506669324E-3</v>
          </cell>
          <cell r="G654">
            <v>3.5223229616786816E-3</v>
          </cell>
          <cell r="H654">
            <v>3.3709660072428573E-3</v>
          </cell>
          <cell r="I654">
            <v>1.554943048844251E-2</v>
          </cell>
          <cell r="J654">
            <v>2.5698365634256041E-2</v>
          </cell>
        </row>
        <row r="655">
          <cell r="B655" t="str">
            <v>DH-EBAT</v>
          </cell>
          <cell r="C655" t="str">
            <v>VAR_fin</v>
          </cell>
          <cell r="D655" t="str">
            <v>AUX_DH-EBAT_IN</v>
          </cell>
          <cell r="E655">
            <v>3.5564309424991384E-3</v>
          </cell>
          <cell r="F655">
            <v>2.8166449506669324E-3</v>
          </cell>
          <cell r="G655">
            <v>3.5223229616786816E-3</v>
          </cell>
          <cell r="H655">
            <v>3.3709660072428573E-3</v>
          </cell>
          <cell r="I655">
            <v>1.554943048844251E-2</v>
          </cell>
          <cell r="J655">
            <v>2.5698365634256041E-2</v>
          </cell>
        </row>
        <row r="656">
          <cell r="B656" t="str">
            <v>DH-EBAT</v>
          </cell>
          <cell r="C656" t="str">
            <v>VAR_ncap</v>
          </cell>
          <cell r="D656" t="str">
            <v>-</v>
          </cell>
          <cell r="E656">
            <v>4.4044716866207298E-4</v>
          </cell>
          <cell r="F656">
            <v>5.9125584552399605E-7</v>
          </cell>
          <cell r="G656">
            <v>2.56309073624786E-6</v>
          </cell>
          <cell r="H656">
            <v>9.0245385039178398E-5</v>
          </cell>
          <cell r="I656">
            <v>1.9360412115459E-3</v>
          </cell>
          <cell r="J656">
            <v>4.4372109405844797E-3</v>
          </cell>
        </row>
        <row r="657">
          <cell r="B657" t="str">
            <v>DH-EBAT</v>
          </cell>
          <cell r="C657" t="str">
            <v>VAR_cap</v>
          </cell>
          <cell r="D657" t="str">
            <v>-</v>
          </cell>
          <cell r="E657">
            <v>4.4044716866207298E-4</v>
          </cell>
          <cell r="F657">
            <v>4.4063679380253792E-4</v>
          </cell>
          <cell r="G657">
            <v>4.431184004903696E-4</v>
          </cell>
          <cell r="H657">
            <v>4.1510897806699878E-4</v>
          </cell>
          <cell r="I657">
            <v>2.3996273509438002E-3</v>
          </cell>
          <cell r="J657">
            <v>5.4862740392225863E-3</v>
          </cell>
        </row>
        <row r="658">
          <cell r="B658" t="str">
            <v>RHEM-EBAT</v>
          </cell>
          <cell r="C658" t="str">
            <v>VAR_fout</v>
          </cell>
          <cell r="D658" t="str">
            <v>RHEM_ELC</v>
          </cell>
          <cell r="E658">
            <v>1.0135628491248002E-3</v>
          </cell>
          <cell r="F658">
            <v>1.0044414074617386E-3</v>
          </cell>
          <cell r="G658">
            <v>1.0092618461059965E-3</v>
          </cell>
          <cell r="H658">
            <v>2.6812904572861618E-2</v>
          </cell>
          <cell r="I658">
            <v>1.9468782861734577E-2</v>
          </cell>
          <cell r="J658">
            <v>1.2669813903460846E-2</v>
          </cell>
        </row>
        <row r="659">
          <cell r="B659" t="str">
            <v>RHEM-EBAT</v>
          </cell>
          <cell r="C659" t="str">
            <v>VAR_fout</v>
          </cell>
          <cell r="D659" t="str">
            <v>AUX_RHEM-EBAT_OUT</v>
          </cell>
          <cell r="E659">
            <v>1.0135628491248015E-3</v>
          </cell>
          <cell r="F659">
            <v>1.0044414074617397E-3</v>
          </cell>
          <cell r="G659">
            <v>1.0092618461059976E-3</v>
          </cell>
          <cell r="H659">
            <v>2.6812904572861646E-2</v>
          </cell>
          <cell r="I659">
            <v>1.9468782861734597E-2</v>
          </cell>
          <cell r="J659">
            <v>1.2669813903460857E-2</v>
          </cell>
        </row>
        <row r="660">
          <cell r="B660" t="str">
            <v>RHEM-EBAT</v>
          </cell>
          <cell r="C660" t="str">
            <v>VAR_fin</v>
          </cell>
          <cell r="D660" t="str">
            <v>RHEM_ELC</v>
          </cell>
          <cell r="E660">
            <v>1.1358351472517409E-3</v>
          </cell>
          <cell r="F660">
            <v>1.1226250685044835E-3</v>
          </cell>
          <cell r="G660">
            <v>1.1167000391467067E-3</v>
          </cell>
          <cell r="H660">
            <v>2.9653483208333813E-2</v>
          </cell>
          <cell r="I660">
            <v>2.1531021767520742E-2</v>
          </cell>
          <cell r="J660">
            <v>1.4012708196035926E-2</v>
          </cell>
        </row>
        <row r="661">
          <cell r="B661" t="str">
            <v>RHEM-EBAT</v>
          </cell>
          <cell r="C661" t="str">
            <v>VAR_fin</v>
          </cell>
          <cell r="D661" t="str">
            <v>AUX_RHEM-EBAT_IN</v>
          </cell>
          <cell r="E661">
            <v>1.1358351472517409E-3</v>
          </cell>
          <cell r="F661">
            <v>1.1226250685044835E-3</v>
          </cell>
          <cell r="G661">
            <v>1.1167000391467067E-3</v>
          </cell>
          <cell r="H661">
            <v>2.9653483208333813E-2</v>
          </cell>
          <cell r="I661">
            <v>2.1531021767520742E-2</v>
          </cell>
          <cell r="J661">
            <v>1.4012708196035926E-2</v>
          </cell>
        </row>
        <row r="662">
          <cell r="B662" t="str">
            <v>RHEM-EBAT</v>
          </cell>
          <cell r="C662" t="str">
            <v>VAR_ncap</v>
          </cell>
          <cell r="D662" t="str">
            <v>-</v>
          </cell>
          <cell r="E662">
            <v>4.08448479399436E-4</v>
          </cell>
          <cell r="F662">
            <v>6.4234744649057102E-7</v>
          </cell>
          <cell r="G662">
            <v>1.82690217217434E-6</v>
          </cell>
          <cell r="H662">
            <v>1.47291623599733E-2</v>
          </cell>
          <cell r="I662">
            <v>4.3583392717113298E-3</v>
          </cell>
          <cell r="J662">
            <v>2.8253726052919598E-3</v>
          </cell>
        </row>
        <row r="663">
          <cell r="B663" t="str">
            <v>RHEM-EBAT</v>
          </cell>
          <cell r="C663" t="str">
            <v>VAR_cap</v>
          </cell>
          <cell r="D663" t="str">
            <v>-</v>
          </cell>
          <cell r="E663">
            <v>4.1114510346155987E-4</v>
          </cell>
          <cell r="F663">
            <v>4.1155220548594372E-4</v>
          </cell>
          <cell r="G663">
            <v>4.1296977115264435E-4</v>
          </cell>
          <cell r="H663">
            <v>1.5029713764524144E-2</v>
          </cell>
          <cell r="I663">
            <v>7.9960173083205056E-3</v>
          </cell>
          <cell r="J663">
            <v>5.1914590969420939E-3</v>
          </cell>
        </row>
        <row r="664">
          <cell r="B664" t="str">
            <v>HPLGEO</v>
          </cell>
          <cell r="C664" t="str">
            <v>VAR_fout</v>
          </cell>
          <cell r="D664" t="str">
            <v>LTH</v>
          </cell>
          <cell r="I664">
            <v>1.3047563013180149E-4</v>
          </cell>
          <cell r="J664">
            <v>1.0818726869459371E-4</v>
          </cell>
        </row>
        <row r="665">
          <cell r="B665" t="str">
            <v>HPLGEO</v>
          </cell>
          <cell r="C665" t="str">
            <v>VAR_fin</v>
          </cell>
          <cell r="D665" t="str">
            <v>GEO</v>
          </cell>
          <cell r="I665">
            <v>1.5350074133153125E-4</v>
          </cell>
          <cell r="J665">
            <v>1.2727913964069858E-4</v>
          </cell>
        </row>
        <row r="666">
          <cell r="B666" t="str">
            <v>HPLGEO</v>
          </cell>
          <cell r="C666" t="str">
            <v>VAR_ncap</v>
          </cell>
          <cell r="D666" t="str">
            <v>-</v>
          </cell>
          <cell r="I666">
            <v>8.9571488321142701E-6</v>
          </cell>
          <cell r="J666">
            <v>1.25334031759312E-7</v>
          </cell>
        </row>
        <row r="667">
          <cell r="B667" t="str">
            <v>HPLGEO</v>
          </cell>
          <cell r="C667" t="str">
            <v>VAR_cap</v>
          </cell>
          <cell r="D667" t="str">
            <v>-</v>
          </cell>
          <cell r="I667">
            <v>8.9571488321142701E-6</v>
          </cell>
          <cell r="J667">
            <v>9.0824828638735807E-6</v>
          </cell>
        </row>
        <row r="668">
          <cell r="B668" t="str">
            <v>EHYD-PUM15</v>
          </cell>
          <cell r="C668" t="str">
            <v>VAR_fout</v>
          </cell>
          <cell r="D668" t="str">
            <v>ELC</v>
          </cell>
          <cell r="F668">
            <v>1.538754710320151E-3</v>
          </cell>
          <cell r="G668">
            <v>2.0169754339135976E-3</v>
          </cell>
          <cell r="H668">
            <v>2.1822443159071336E-3</v>
          </cell>
          <cell r="I668">
            <v>1.8938612018491643E-3</v>
          </cell>
          <cell r="J668">
            <v>1.6901744697800703E-3</v>
          </cell>
        </row>
        <row r="669">
          <cell r="B669" t="str">
            <v>EHYD-PUM15</v>
          </cell>
          <cell r="C669" t="str">
            <v>VAR_fout</v>
          </cell>
          <cell r="D669" t="str">
            <v>AUX_PUMP_OUT</v>
          </cell>
          <cell r="F669">
            <v>1.538754710320151E-3</v>
          </cell>
          <cell r="G669">
            <v>2.0169754339135976E-3</v>
          </cell>
          <cell r="H669">
            <v>2.1822443159071336E-3</v>
          </cell>
          <cell r="I669">
            <v>1.8938612018491643E-3</v>
          </cell>
          <cell r="J669">
            <v>1.6901744697800703E-3</v>
          </cell>
        </row>
        <row r="670">
          <cell r="B670" t="str">
            <v>EHYD-PUM15</v>
          </cell>
          <cell r="C670" t="str">
            <v>VAR_fin</v>
          </cell>
          <cell r="D670" t="str">
            <v>AUX_PUMP_IN</v>
          </cell>
          <cell r="F670">
            <v>1.9267212393868284E-3</v>
          </cell>
          <cell r="G670">
            <v>2.5226334684964329E-3</v>
          </cell>
          <cell r="H670">
            <v>2.7276378564572491E-3</v>
          </cell>
          <cell r="I670">
            <v>2.3670310308565585E-3</v>
          </cell>
          <cell r="J670">
            <v>2.1124043869007142E-3</v>
          </cell>
        </row>
        <row r="671">
          <cell r="B671" t="str">
            <v>EHYD-PUM15</v>
          </cell>
          <cell r="C671" t="str">
            <v>VAR_fin</v>
          </cell>
          <cell r="D671" t="str">
            <v>ELC</v>
          </cell>
          <cell r="F671">
            <v>1.9267212393868284E-3</v>
          </cell>
          <cell r="G671">
            <v>2.5226334684964329E-3</v>
          </cell>
          <cell r="H671">
            <v>2.7276378564572491E-3</v>
          </cell>
          <cell r="I671">
            <v>2.3670310308565585E-3</v>
          </cell>
          <cell r="J671">
            <v>2.1124043869007142E-3</v>
          </cell>
        </row>
        <row r="672">
          <cell r="B672" t="str">
            <v>EHYD-PUM15</v>
          </cell>
          <cell r="C672" t="str">
            <v>VAR_ncap</v>
          </cell>
          <cell r="D672" t="str">
            <v>-</v>
          </cell>
          <cell r="F672">
            <v>1.8256675792926899E-4</v>
          </cell>
          <cell r="G672">
            <v>8.2888375105245397E-8</v>
          </cell>
          <cell r="H672">
            <v>1.07436206513319E-7</v>
          </cell>
          <cell r="I672">
            <v>1.2486931900034699E-7</v>
          </cell>
          <cell r="J672">
            <v>3.9822624227684198E-7</v>
          </cell>
        </row>
        <row r="673">
          <cell r="B673" t="str">
            <v>EHYD-PUM15</v>
          </cell>
          <cell r="C673" t="str">
            <v>VAR_cap</v>
          </cell>
          <cell r="D673" t="str">
            <v>-</v>
          </cell>
          <cell r="F673">
            <v>1.8256675792926899E-4</v>
          </cell>
          <cell r="G673">
            <v>1.8256675792926899E-4</v>
          </cell>
          <cell r="H673">
            <v>1.8256675792926899E-4</v>
          </cell>
          <cell r="I673">
            <v>1.8275708251088801E-4</v>
          </cell>
          <cell r="J673">
            <v>1.8300146173448899E-4</v>
          </cell>
        </row>
        <row r="674">
          <cell r="B674" t="str">
            <v>D-EWST</v>
          </cell>
          <cell r="C674" t="str">
            <v>VAR_fout</v>
          </cell>
          <cell r="D674" t="str">
            <v>CO2</v>
          </cell>
          <cell r="E674">
            <v>2266.2757909183001</v>
          </cell>
          <cell r="F674">
            <v>2235.40341917664</v>
          </cell>
          <cell r="G674">
            <v>2268.7810584098202</v>
          </cell>
          <cell r="H674">
            <v>2238.5110416731</v>
          </cell>
          <cell r="I674">
            <v>2266.09876685886</v>
          </cell>
          <cell r="J674">
            <v>2317.3898071400999</v>
          </cell>
        </row>
        <row r="675">
          <cell r="B675" t="str">
            <v>D-EWST</v>
          </cell>
          <cell r="C675" t="str">
            <v>VAR_fout</v>
          </cell>
          <cell r="D675" t="str">
            <v>EWST</v>
          </cell>
          <cell r="E675">
            <v>48.842150666342476</v>
          </cell>
          <cell r="F675">
            <v>48.176805450721993</v>
          </cell>
          <cell r="G675">
            <v>48.896151266281336</v>
          </cell>
          <cell r="H675">
            <v>48.243783541740363</v>
          </cell>
          <cell r="I675">
            <v>48.838349993649253</v>
          </cell>
          <cell r="J675">
            <v>49.943753997419257</v>
          </cell>
        </row>
        <row r="676">
          <cell r="B676" t="str">
            <v>D-EWST</v>
          </cell>
          <cell r="C676" t="str">
            <v>VAR_fin</v>
          </cell>
          <cell r="D676" t="str">
            <v>WSTNREN</v>
          </cell>
          <cell r="E676">
            <v>24.421075333171242</v>
          </cell>
          <cell r="F676">
            <v>24.088398913541386</v>
          </cell>
          <cell r="G676">
            <v>24.448071750105768</v>
          </cell>
          <cell r="H676">
            <v>24.121886224925671</v>
          </cell>
          <cell r="I676">
            <v>24.419167746323939</v>
          </cell>
          <cell r="J676">
            <v>24.971872921768327</v>
          </cell>
        </row>
        <row r="677">
          <cell r="B677" t="str">
            <v>D-EWST</v>
          </cell>
          <cell r="C677" t="str">
            <v>VAR_fin</v>
          </cell>
          <cell r="D677" t="str">
            <v>WSTREN</v>
          </cell>
          <cell r="E677">
            <v>24.421075333171242</v>
          </cell>
          <cell r="F677">
            <v>24.088398913541386</v>
          </cell>
          <cell r="G677">
            <v>24.448071750105768</v>
          </cell>
          <cell r="H677">
            <v>24.121886224925671</v>
          </cell>
          <cell r="I677">
            <v>24.419167746323939</v>
          </cell>
          <cell r="J677">
            <v>24.971872921768327</v>
          </cell>
        </row>
        <row r="678">
          <cell r="B678"/>
          <cell r="C678"/>
          <cell r="D678"/>
        </row>
        <row r="679">
          <cell r="B679"/>
          <cell r="C679"/>
          <cell r="D679"/>
        </row>
        <row r="680">
          <cell r="B680"/>
          <cell r="C680"/>
          <cell r="D680"/>
        </row>
        <row r="681">
          <cell r="B681"/>
          <cell r="C681"/>
          <cell r="D681"/>
        </row>
        <row r="682">
          <cell r="B682"/>
          <cell r="C682"/>
          <cell r="D682"/>
        </row>
        <row r="683">
          <cell r="B683"/>
          <cell r="C683"/>
          <cell r="D683"/>
        </row>
        <row r="684">
          <cell r="B684"/>
          <cell r="C684"/>
          <cell r="D684"/>
        </row>
        <row r="685">
          <cell r="B685"/>
          <cell r="C685"/>
          <cell r="D685"/>
        </row>
        <row r="686">
          <cell r="B686"/>
          <cell r="C686"/>
          <cell r="D686"/>
        </row>
        <row r="687">
          <cell r="B687"/>
          <cell r="C687"/>
          <cell r="D687"/>
        </row>
        <row r="688">
          <cell r="B688"/>
          <cell r="C688"/>
          <cell r="D688"/>
        </row>
        <row r="689">
          <cell r="B689"/>
          <cell r="C689"/>
          <cell r="D689"/>
        </row>
        <row r="690">
          <cell r="B690"/>
          <cell r="C690"/>
          <cell r="D690"/>
        </row>
        <row r="691">
          <cell r="B691"/>
          <cell r="C691"/>
          <cell r="D691"/>
        </row>
        <row r="692">
          <cell r="B692"/>
          <cell r="C692"/>
          <cell r="D692"/>
        </row>
        <row r="693">
          <cell r="B693"/>
          <cell r="C693"/>
          <cell r="D693"/>
        </row>
        <row r="694">
          <cell r="B694"/>
          <cell r="C694"/>
          <cell r="D694"/>
        </row>
        <row r="695">
          <cell r="B695"/>
          <cell r="C695"/>
          <cell r="D695"/>
        </row>
        <row r="696">
          <cell r="B696"/>
          <cell r="C696"/>
          <cell r="D696"/>
        </row>
        <row r="697">
          <cell r="B697"/>
          <cell r="C697"/>
          <cell r="D697"/>
        </row>
        <row r="698">
          <cell r="B698"/>
          <cell r="C698"/>
          <cell r="D698"/>
        </row>
        <row r="699">
          <cell r="B699"/>
          <cell r="C699"/>
          <cell r="D699"/>
        </row>
        <row r="700">
          <cell r="B700"/>
          <cell r="C700"/>
          <cell r="D700"/>
        </row>
        <row r="701">
          <cell r="B701"/>
          <cell r="C701"/>
          <cell r="D701"/>
        </row>
        <row r="702">
          <cell r="B702"/>
          <cell r="C702"/>
          <cell r="D702"/>
        </row>
        <row r="703">
          <cell r="B703"/>
          <cell r="C703"/>
          <cell r="D703"/>
        </row>
        <row r="704">
          <cell r="B704"/>
          <cell r="C704"/>
          <cell r="D704"/>
        </row>
        <row r="705">
          <cell r="B705"/>
          <cell r="C705"/>
          <cell r="D705"/>
        </row>
        <row r="706">
          <cell r="B706"/>
          <cell r="C706"/>
          <cell r="D706"/>
        </row>
        <row r="707">
          <cell r="B707"/>
          <cell r="C707"/>
          <cell r="D707"/>
        </row>
        <row r="708">
          <cell r="B708"/>
          <cell r="C708"/>
          <cell r="D708"/>
        </row>
        <row r="709">
          <cell r="B709"/>
          <cell r="C709"/>
          <cell r="D709"/>
        </row>
        <row r="710">
          <cell r="B710"/>
          <cell r="C710"/>
          <cell r="D710"/>
        </row>
        <row r="711">
          <cell r="B711"/>
          <cell r="C711"/>
          <cell r="D711"/>
        </row>
        <row r="712">
          <cell r="B712"/>
          <cell r="C712"/>
          <cell r="D712"/>
        </row>
        <row r="713">
          <cell r="B713"/>
          <cell r="C713"/>
          <cell r="D713"/>
        </row>
        <row r="714">
          <cell r="B714"/>
          <cell r="C714"/>
          <cell r="D714"/>
        </row>
        <row r="715">
          <cell r="B715"/>
          <cell r="C715"/>
          <cell r="D715"/>
        </row>
        <row r="716">
          <cell r="B716"/>
          <cell r="C716"/>
          <cell r="D716"/>
        </row>
        <row r="717">
          <cell r="B717"/>
          <cell r="C717"/>
          <cell r="D717"/>
        </row>
        <row r="718">
          <cell r="B718"/>
          <cell r="C718"/>
          <cell r="D718"/>
        </row>
        <row r="719">
          <cell r="B719"/>
          <cell r="C719"/>
          <cell r="D719"/>
        </row>
        <row r="720">
          <cell r="B720"/>
          <cell r="C720"/>
          <cell r="D720"/>
        </row>
        <row r="721">
          <cell r="B721"/>
          <cell r="C721"/>
          <cell r="D721"/>
        </row>
        <row r="722">
          <cell r="B722"/>
          <cell r="C722"/>
          <cell r="D722"/>
        </row>
        <row r="723">
          <cell r="B723"/>
          <cell r="C723"/>
          <cell r="D723"/>
        </row>
        <row r="724">
          <cell r="B724"/>
          <cell r="C724"/>
          <cell r="D724"/>
        </row>
        <row r="725">
          <cell r="B725"/>
          <cell r="C725"/>
          <cell r="D725"/>
        </row>
        <row r="726">
          <cell r="B726"/>
          <cell r="C726"/>
          <cell r="D726"/>
        </row>
        <row r="727">
          <cell r="B727"/>
          <cell r="C727"/>
          <cell r="D727"/>
        </row>
        <row r="728">
          <cell r="B728"/>
          <cell r="C728"/>
          <cell r="D728"/>
        </row>
        <row r="729">
          <cell r="B729"/>
          <cell r="C729"/>
          <cell r="D729"/>
        </row>
        <row r="730">
          <cell r="B730"/>
          <cell r="C730"/>
          <cell r="D730"/>
        </row>
        <row r="731">
          <cell r="B731"/>
          <cell r="C731"/>
          <cell r="D731"/>
        </row>
        <row r="732">
          <cell r="B732"/>
          <cell r="C732"/>
          <cell r="D732"/>
        </row>
        <row r="733">
          <cell r="B733"/>
          <cell r="C733"/>
          <cell r="D733"/>
        </row>
        <row r="734">
          <cell r="B734"/>
          <cell r="C734"/>
          <cell r="D734"/>
        </row>
        <row r="735">
          <cell r="B735"/>
          <cell r="C735"/>
          <cell r="D735"/>
        </row>
        <row r="736">
          <cell r="B736"/>
          <cell r="C736"/>
          <cell r="D736"/>
        </row>
        <row r="737">
          <cell r="B737"/>
          <cell r="C737"/>
          <cell r="D737"/>
        </row>
        <row r="738">
          <cell r="B738"/>
          <cell r="C738"/>
          <cell r="D738"/>
        </row>
        <row r="739">
          <cell r="B739"/>
          <cell r="C739"/>
          <cell r="D739"/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/>
          <cell r="E3"/>
        </row>
        <row r="4">
          <cell r="A4"/>
          <cell r="B4"/>
          <cell r="C4"/>
        </row>
        <row r="5">
          <cell r="A5"/>
          <cell r="B5"/>
          <cell r="C5"/>
        </row>
        <row r="6">
          <cell r="A6"/>
          <cell r="B6"/>
          <cell r="C6"/>
        </row>
        <row r="7">
          <cell r="A7"/>
          <cell r="B7"/>
          <cell r="C7"/>
        </row>
        <row r="8">
          <cell r="A8"/>
          <cell r="B8"/>
          <cell r="C8"/>
        </row>
        <row r="9">
          <cell r="A9"/>
          <cell r="B9"/>
          <cell r="C9"/>
        </row>
        <row r="10">
          <cell r="A10"/>
          <cell r="B10"/>
          <cell r="C10"/>
        </row>
        <row r="11">
          <cell r="A11"/>
          <cell r="B11"/>
          <cell r="C11"/>
        </row>
        <row r="12">
          <cell r="A12"/>
          <cell r="B12"/>
          <cell r="C12"/>
        </row>
        <row r="13">
          <cell r="A13"/>
          <cell r="B13"/>
          <cell r="C13"/>
        </row>
        <row r="14">
          <cell r="A14"/>
          <cell r="B14"/>
          <cell r="C14"/>
        </row>
        <row r="15">
          <cell r="A15"/>
          <cell r="B15"/>
          <cell r="C15"/>
        </row>
        <row r="16">
          <cell r="A16"/>
          <cell r="B16"/>
          <cell r="C16"/>
        </row>
        <row r="17">
          <cell r="A17"/>
          <cell r="B17"/>
          <cell r="C17"/>
        </row>
        <row r="18">
          <cell r="A18"/>
          <cell r="B18"/>
          <cell r="C18"/>
        </row>
        <row r="19">
          <cell r="A19"/>
          <cell r="B19"/>
          <cell r="C19"/>
        </row>
        <row r="20">
          <cell r="A20"/>
          <cell r="B20"/>
          <cell r="C20"/>
        </row>
        <row r="21">
          <cell r="A21"/>
          <cell r="B21"/>
          <cell r="C21"/>
        </row>
      </sheetData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2040</v>
          </cell>
          <cell r="I3" t="str">
            <v>2050</v>
          </cell>
        </row>
        <row r="4">
          <cell r="A4" t="str">
            <v>IMPBDS1</v>
          </cell>
          <cell r="C4" t="str">
            <v>BDS1</v>
          </cell>
          <cell r="G4">
            <v>5.0409130398989399</v>
          </cell>
          <cell r="H4">
            <v>5.2173256899809699</v>
          </cell>
          <cell r="I4">
            <v>5.2173259677912398</v>
          </cell>
        </row>
        <row r="5">
          <cell r="A5" t="str">
            <v>EXPELC_DE</v>
          </cell>
          <cell r="C5" t="str">
            <v>ELC_E-DE</v>
          </cell>
          <cell r="D5">
            <v>26.492980452767849</v>
          </cell>
          <cell r="E5">
            <v>4.2340776429941065E-4</v>
          </cell>
          <cell r="F5">
            <v>4.6212250265163487E-4</v>
          </cell>
          <cell r="G5">
            <v>3.3568140780620271E-4</v>
          </cell>
          <cell r="H5">
            <v>1.2126497578161797E-3</v>
          </cell>
          <cell r="I5">
            <v>3.4399906960396815E-4</v>
          </cell>
        </row>
        <row r="6">
          <cell r="A6" t="str">
            <v>IMPDSL</v>
          </cell>
          <cell r="C6" t="str">
            <v>DSL</v>
          </cell>
          <cell r="D6">
            <v>118.36780382425881</v>
          </cell>
          <cell r="E6">
            <v>112.68603697773341</v>
          </cell>
          <cell r="F6">
            <v>96.183442857683474</v>
          </cell>
          <cell r="G6">
            <v>72.099065027168891</v>
          </cell>
          <cell r="H6">
            <v>48.979250284617827</v>
          </cell>
          <cell r="I6">
            <v>48.013921793931999</v>
          </cell>
        </row>
        <row r="7">
          <cell r="A7" t="str">
            <v>IMPH2</v>
          </cell>
          <cell r="C7" t="str">
            <v>H2</v>
          </cell>
          <cell r="H7">
            <v>8.2844004006968862E-4</v>
          </cell>
          <cell r="I7">
            <v>8.3022205458255357E-4</v>
          </cell>
        </row>
        <row r="8">
          <cell r="A8" t="str">
            <v>IMPELC_AT</v>
          </cell>
          <cell r="C8" t="str">
            <v>ELC_I-AT</v>
          </cell>
          <cell r="D8">
            <v>15.013814002590994</v>
          </cell>
          <cell r="E8">
            <v>7.7724935494938542E-3</v>
          </cell>
          <cell r="F8">
            <v>5.0277396783774487E-3</v>
          </cell>
          <cell r="G8">
            <v>4.2378282951149576E-3</v>
          </cell>
          <cell r="H8">
            <v>2.5487078317778145E-3</v>
          </cell>
          <cell r="I8">
            <v>2.5329283400141733E-3</v>
          </cell>
        </row>
        <row r="9">
          <cell r="A9" t="str">
            <v>IMPELC_AT</v>
          </cell>
          <cell r="C9" t="str">
            <v>ELCS</v>
          </cell>
          <cell r="D9">
            <v>15.013814002590994</v>
          </cell>
          <cell r="E9">
            <v>7.7724935494938542E-3</v>
          </cell>
          <cell r="F9">
            <v>5.0277396783774487E-3</v>
          </cell>
          <cell r="G9">
            <v>4.2378282951149576E-3</v>
          </cell>
          <cell r="H9">
            <v>2.5487078317778145E-3</v>
          </cell>
          <cell r="I9">
            <v>2.5329283400141733E-3</v>
          </cell>
        </row>
        <row r="10">
          <cell r="A10" t="str">
            <v>IMPELC_FR</v>
          </cell>
          <cell r="C10" t="str">
            <v>ELC_I-FR</v>
          </cell>
          <cell r="D10">
            <v>28.948625749861428</v>
          </cell>
          <cell r="E10">
            <v>16.952491235370033</v>
          </cell>
          <cell r="F10">
            <v>18.862148103575215</v>
          </cell>
          <cell r="G10">
            <v>14.81735249082123</v>
          </cell>
          <cell r="H10">
            <v>10.580581529721572</v>
          </cell>
          <cell r="I10">
            <v>9.9864165756426875</v>
          </cell>
        </row>
        <row r="11">
          <cell r="A11" t="str">
            <v>IMPELC_FR</v>
          </cell>
          <cell r="C11" t="str">
            <v>ELCS</v>
          </cell>
          <cell r="D11">
            <v>28.948625749861428</v>
          </cell>
          <cell r="E11">
            <v>16.952491235370033</v>
          </cell>
          <cell r="F11">
            <v>18.862148103575215</v>
          </cell>
          <cell r="G11">
            <v>14.81735249082123</v>
          </cell>
          <cell r="H11">
            <v>10.580581529721572</v>
          </cell>
          <cell r="I11">
            <v>9.9864165756426875</v>
          </cell>
        </row>
        <row r="12">
          <cell r="A12" t="str">
            <v>RNWHYDR1</v>
          </cell>
          <cell r="C12" t="str">
            <v>HYDR</v>
          </cell>
          <cell r="D12">
            <v>66.632400584936647</v>
          </cell>
          <cell r="E12">
            <v>55.764004617408027</v>
          </cell>
          <cell r="F12">
            <v>65.55096200066761</v>
          </cell>
          <cell r="G12">
            <v>64.468038140082001</v>
          </cell>
          <cell r="H12">
            <v>62.299668571129715</v>
          </cell>
          <cell r="I12">
            <v>60.129976775260594</v>
          </cell>
        </row>
        <row r="13">
          <cell r="A13" t="str">
            <v>EXPELC_IT</v>
          </cell>
          <cell r="C13" t="str">
            <v>ELC_E-IT</v>
          </cell>
          <cell r="D13">
            <v>71.694107832614378</v>
          </cell>
          <cell r="E13">
            <v>35.46887471928207</v>
          </cell>
          <cell r="F13">
            <v>54.784013126194175</v>
          </cell>
          <cell r="G13">
            <v>55.658295088768682</v>
          </cell>
          <cell r="H13">
            <v>19.692795427988287</v>
          </cell>
          <cell r="I13">
            <v>14.135069250652586</v>
          </cell>
        </row>
        <row r="14">
          <cell r="A14" t="str">
            <v>IMPLNG</v>
          </cell>
          <cell r="C14" t="str">
            <v>LBIO</v>
          </cell>
          <cell r="G14">
            <v>2.1348869097290999</v>
          </cell>
          <cell r="H14">
            <v>2.1349985671138816</v>
          </cell>
          <cell r="I14">
            <v>2.1352815440237038</v>
          </cell>
        </row>
        <row r="15">
          <cell r="A15" t="str">
            <v>IMPLNG</v>
          </cell>
          <cell r="C15" t="str">
            <v>LNGA</v>
          </cell>
          <cell r="G15">
            <v>8.0767802955452955E-4</v>
          </cell>
          <cell r="H15">
            <v>7.0438621167654835E-4</v>
          </cell>
          <cell r="I15">
            <v>4.2000470094739483E-4</v>
          </cell>
        </row>
        <row r="16">
          <cell r="A16" t="str">
            <v>IMPURN1</v>
          </cell>
          <cell r="C16" t="str">
            <v>URN</v>
          </cell>
          <cell r="D16">
            <v>250.9482066226399</v>
          </cell>
          <cell r="E16">
            <v>253.29997126607861</v>
          </cell>
          <cell r="F16">
            <v>206.08389501720879</v>
          </cell>
          <cell r="G16">
            <v>211.89120755072275</v>
          </cell>
          <cell r="H16">
            <v>98.945536106252703</v>
          </cell>
        </row>
        <row r="17">
          <cell r="A17" t="str">
            <v>EXPELC_AT</v>
          </cell>
          <cell r="C17" t="str">
            <v>ELC_E-AT</v>
          </cell>
          <cell r="D17">
            <v>6.2295668534316757</v>
          </cell>
          <cell r="E17">
            <v>6.3365133156349221E-4</v>
          </cell>
          <cell r="F17">
            <v>8.4617894653832434E-4</v>
          </cell>
          <cell r="G17">
            <v>1.4544914331047771E-4</v>
          </cell>
          <cell r="H17">
            <v>1.9996919464519404E-4</v>
          </cell>
          <cell r="I17">
            <v>1.3611769716607601E-4</v>
          </cell>
        </row>
        <row r="18">
          <cell r="A18" t="str">
            <v>EXPELC_FR</v>
          </cell>
          <cell r="C18" t="str">
            <v>ELC_E-FR</v>
          </cell>
          <cell r="D18">
            <v>12.753366739010422</v>
          </cell>
          <cell r="E18">
            <v>5.6731250810467925E-4</v>
          </cell>
          <cell r="F18">
            <v>5.1682333077293684E-4</v>
          </cell>
          <cell r="G18">
            <v>2.5831675297700038E-4</v>
          </cell>
          <cell r="H18">
            <v>1.5276926962981159E-3</v>
          </cell>
          <cell r="I18">
            <v>8.5805561225242187E-4</v>
          </cell>
        </row>
        <row r="19">
          <cell r="A19" t="str">
            <v>RNWWND1</v>
          </cell>
          <cell r="C19" t="str">
            <v>WND</v>
          </cell>
          <cell r="D19">
            <v>0.51936787718793009</v>
          </cell>
          <cell r="E19">
            <v>0.54063644630823149</v>
          </cell>
          <cell r="F19">
            <v>0.49850440904576715</v>
          </cell>
          <cell r="G19">
            <v>0.87513906488119098</v>
          </cell>
          <cell r="H19">
            <v>0.76569234620340709</v>
          </cell>
          <cell r="I19">
            <v>0.87515320529522467</v>
          </cell>
        </row>
        <row r="20">
          <cell r="A20" t="str">
            <v>RNWWND2</v>
          </cell>
          <cell r="C20" t="str">
            <v>WND</v>
          </cell>
          <cell r="D20">
            <v>1.6435917066136123E-3</v>
          </cell>
          <cell r="E20">
            <v>1.6435870841099978E-3</v>
          </cell>
          <cell r="F20">
            <v>1.6442700955155453E-3</v>
          </cell>
          <cell r="G20">
            <v>6.0828813032913105E-3</v>
          </cell>
          <cell r="H20">
            <v>2.1639746078894191E-2</v>
          </cell>
          <cell r="I20">
            <v>2.3070652950350046</v>
          </cell>
        </row>
        <row r="21">
          <cell r="A21" t="str">
            <v>RNWMNR1</v>
          </cell>
          <cell r="C21" t="str">
            <v>MNR</v>
          </cell>
          <cell r="D21">
            <v>3.7981060759479917</v>
          </cell>
          <cell r="E21">
            <v>10.707989460631929</v>
          </cell>
          <cell r="F21">
            <v>12.540098936358259</v>
          </cell>
          <cell r="G21">
            <v>12.540426702939271</v>
          </cell>
          <cell r="H21">
            <v>12.540426606606603</v>
          </cell>
          <cell r="I21">
            <v>12.540429592464726</v>
          </cell>
        </row>
        <row r="22">
          <cell r="A22" t="str">
            <v>RNWWND3</v>
          </cell>
          <cell r="C22" t="str">
            <v>WND</v>
          </cell>
          <cell r="D22">
            <v>1.2250922608005371E-3</v>
          </cell>
          <cell r="E22">
            <v>1.224890365649188E-3</v>
          </cell>
          <cell r="F22">
            <v>1.226138677127139E-3</v>
          </cell>
          <cell r="G22">
            <v>1.5255554923305167E-3</v>
          </cell>
          <cell r="H22">
            <v>2.5585193820405489E-3</v>
          </cell>
          <cell r="I22">
            <v>2.6319867011519206E-3</v>
          </cell>
        </row>
        <row r="23">
          <cell r="A23" t="str">
            <v>RNWMNR2</v>
          </cell>
          <cell r="C23" t="str">
            <v>MNR</v>
          </cell>
          <cell r="H23">
            <v>2.0822207882659933</v>
          </cell>
          <cell r="I23">
            <v>6.2701755663134753</v>
          </cell>
        </row>
        <row r="24">
          <cell r="A24" t="str">
            <v>RNWWND4</v>
          </cell>
          <cell r="C24" t="str">
            <v>WND</v>
          </cell>
          <cell r="D24">
            <v>1.0667341961947722E-3</v>
          </cell>
          <cell r="E24">
            <v>1.0663982685282705E-3</v>
          </cell>
          <cell r="F24">
            <v>1.0677889023769315E-3</v>
          </cell>
          <cell r="G24">
            <v>1.2106639797994042E-3</v>
          </cell>
          <cell r="H24">
            <v>1.7720846922257452E-3</v>
          </cell>
          <cell r="I24">
            <v>1.6024703329693662E-3</v>
          </cell>
        </row>
        <row r="25">
          <cell r="A25" t="str">
            <v>RNWMNR3</v>
          </cell>
          <cell r="C25" t="str">
            <v>MNR</v>
          </cell>
          <cell r="H25">
            <v>1.0793154794487036E-3</v>
          </cell>
          <cell r="I25">
            <v>7.0699731730324705E-4</v>
          </cell>
        </row>
        <row r="26">
          <cell r="A26" t="str">
            <v>IMPLFO1</v>
          </cell>
          <cell r="C26" t="str">
            <v>LFO</v>
          </cell>
          <cell r="D26">
            <v>101.74113491404702</v>
          </cell>
          <cell r="E26">
            <v>88.340537259609377</v>
          </cell>
          <cell r="F26">
            <v>85.820859997008071</v>
          </cell>
          <cell r="G26">
            <v>59.651706004086428</v>
          </cell>
          <cell r="H26">
            <v>31.795463622792941</v>
          </cell>
          <cell r="I26">
            <v>11.092308530732268</v>
          </cell>
        </row>
        <row r="27">
          <cell r="A27" t="str">
            <v>RNWWND5</v>
          </cell>
          <cell r="C27" t="str">
            <v>WND</v>
          </cell>
          <cell r="D27">
            <v>7.2580800599179147E-4</v>
          </cell>
          <cell r="E27">
            <v>7.2474585116091286E-4</v>
          </cell>
          <cell r="F27">
            <v>7.2606683908546142E-4</v>
          </cell>
          <cell r="G27">
            <v>7.6831967378788828E-4</v>
          </cell>
          <cell r="H27">
            <v>8.7419027020757079E-4</v>
          </cell>
          <cell r="I27">
            <v>7.0205933916519191E-4</v>
          </cell>
        </row>
        <row r="28">
          <cell r="A28" t="str">
            <v>IMPBNGA</v>
          </cell>
          <cell r="C28" t="str">
            <v>BIO</v>
          </cell>
          <cell r="E28">
            <v>0.51650516653181899</v>
          </cell>
          <cell r="F28">
            <v>4.4329002696620194E-4</v>
          </cell>
          <cell r="G28">
            <v>0.51714980932664312</v>
          </cell>
          <cell r="H28">
            <v>0.72934276378532747</v>
          </cell>
          <cell r="I28">
            <v>1.2905114486671216</v>
          </cell>
        </row>
        <row r="29">
          <cell r="A29" t="str">
            <v>RNWGEO1</v>
          </cell>
          <cell r="C29" t="str">
            <v>GEO</v>
          </cell>
          <cell r="H29">
            <v>1.3946254775828936E-2</v>
          </cell>
          <cell r="I29">
            <v>0.14052387258893434</v>
          </cell>
        </row>
        <row r="30">
          <cell r="A30" t="str">
            <v>RNWGEO2</v>
          </cell>
          <cell r="C30" t="str">
            <v>GEO</v>
          </cell>
          <cell r="H30">
            <v>5.3040103403989708E-3</v>
          </cell>
          <cell r="I30">
            <v>9.2775520188629577E-3</v>
          </cell>
        </row>
        <row r="31">
          <cell r="A31" t="str">
            <v>IMPKERintl</v>
          </cell>
          <cell r="C31" t="str">
            <v>KERintl</v>
          </cell>
          <cell r="D31">
            <v>29.445541904988399</v>
          </cell>
          <cell r="E31">
            <v>59.482621832335802</v>
          </cell>
          <cell r="F31">
            <v>79.435198710781506</v>
          </cell>
          <cell r="G31">
            <v>78.9743043350379</v>
          </cell>
          <cell r="H31">
            <v>81.707476837963398</v>
          </cell>
          <cell r="I31">
            <v>78.134590846141904</v>
          </cell>
        </row>
        <row r="32">
          <cell r="A32" t="str">
            <v>RNWGEO3</v>
          </cell>
          <cell r="C32" t="str">
            <v>GEO</v>
          </cell>
          <cell r="H32">
            <v>2.283070325137164E-3</v>
          </cell>
          <cell r="I32">
            <v>3.1125378417530495E-3</v>
          </cell>
        </row>
        <row r="33">
          <cell r="A33" t="str">
            <v>RNWGEO4</v>
          </cell>
          <cell r="C33" t="str">
            <v>GEO</v>
          </cell>
          <cell r="H33">
            <v>1.6910717877409126E-3</v>
          </cell>
          <cell r="I33">
            <v>2.078567930485995E-3</v>
          </cell>
        </row>
        <row r="34">
          <cell r="A34" t="str">
            <v>RNWGEO5</v>
          </cell>
          <cell r="C34" t="str">
            <v>GEO</v>
          </cell>
          <cell r="H34">
            <v>1.3789542444641336E-3</v>
          </cell>
          <cell r="I34">
            <v>1.6194395778398719E-3</v>
          </cell>
        </row>
        <row r="35">
          <cell r="A35" t="str">
            <v>IMPGSL</v>
          </cell>
          <cell r="C35" t="str">
            <v>GSL</v>
          </cell>
          <cell r="D35">
            <v>79.877962118399239</v>
          </cell>
          <cell r="E35">
            <v>75.914994772831548</v>
          </cell>
          <cell r="F35">
            <v>72.199643614653553</v>
          </cell>
          <cell r="G35">
            <v>55.649079205545391</v>
          </cell>
          <cell r="H35">
            <v>37.863786906508274</v>
          </cell>
          <cell r="I35">
            <v>28.179487147323755</v>
          </cell>
        </row>
        <row r="36">
          <cell r="A36" t="str">
            <v>RNWWOD1</v>
          </cell>
          <cell r="C36" t="str">
            <v>WOD</v>
          </cell>
          <cell r="D36">
            <v>11.111887080703235</v>
          </cell>
          <cell r="E36">
            <v>11.952894224577125</v>
          </cell>
          <cell r="F36">
            <v>13.214396366540509</v>
          </cell>
          <cell r="G36">
            <v>15.316913940145136</v>
          </cell>
          <cell r="H36">
            <v>16.266399867659125</v>
          </cell>
          <cell r="I36">
            <v>16.956997649456635</v>
          </cell>
        </row>
        <row r="37">
          <cell r="A37" t="str">
            <v>RNWWOD2</v>
          </cell>
          <cell r="C37" t="str">
            <v>WOD</v>
          </cell>
          <cell r="D37">
            <v>7.5116807187130856</v>
          </cell>
          <cell r="E37">
            <v>7.543152714349854</v>
          </cell>
          <cell r="F37">
            <v>7.5903521129438722</v>
          </cell>
          <cell r="G37">
            <v>7.6690318372811142</v>
          </cell>
          <cell r="H37">
            <v>7.6690314542317317</v>
          </cell>
          <cell r="I37">
            <v>7.6690318741562127</v>
          </cell>
        </row>
        <row r="38">
          <cell r="A38" t="str">
            <v>RNWWOD3</v>
          </cell>
          <cell r="C38" t="str">
            <v>WOD</v>
          </cell>
          <cell r="D38">
            <v>3.1682550304546395</v>
          </cell>
          <cell r="E38">
            <v>3.4956774164018611</v>
          </cell>
          <cell r="F38">
            <v>3.9868188851996194</v>
          </cell>
          <cell r="G38">
            <v>4.8053882266505985</v>
          </cell>
          <cell r="H38">
            <v>4.805387737568557</v>
          </cell>
          <cell r="I38">
            <v>4.8053882808963877</v>
          </cell>
        </row>
        <row r="39">
          <cell r="A39" t="str">
            <v>RNWWOD4</v>
          </cell>
          <cell r="C39" t="str">
            <v>WOD</v>
          </cell>
          <cell r="D39">
            <v>13.656496420370713</v>
          </cell>
          <cell r="E39">
            <v>14.899046505045582</v>
          </cell>
          <cell r="F39">
            <v>16.762870555001779</v>
          </cell>
          <cell r="G39">
            <v>19.869255499116946</v>
          </cell>
          <cell r="H39">
            <v>19.869253627837342</v>
          </cell>
          <cell r="I39">
            <v>19.869255586971605</v>
          </cell>
        </row>
        <row r="40">
          <cell r="A40" t="str">
            <v>RNWWOD5</v>
          </cell>
          <cell r="C40" t="str">
            <v>WOD</v>
          </cell>
          <cell r="D40">
            <v>9.5241508807235853</v>
          </cell>
          <cell r="E40">
            <v>10.299726552733105</v>
          </cell>
          <cell r="F40">
            <v>7.0835402943188654</v>
          </cell>
          <cell r="G40">
            <v>0.97811123816972834</v>
          </cell>
          <cell r="H40">
            <v>1.8498128170835673</v>
          </cell>
          <cell r="I40">
            <v>1.7341091023549524</v>
          </cell>
        </row>
        <row r="41">
          <cell r="A41" t="str">
            <v>RNNWWST1</v>
          </cell>
          <cell r="C41" t="str">
            <v>WSTNREN</v>
          </cell>
          <cell r="D41">
            <v>35.931127006523852</v>
          </cell>
          <cell r="E41">
            <v>35.882387755203617</v>
          </cell>
          <cell r="F41">
            <v>35.489464933168392</v>
          </cell>
          <cell r="G41">
            <v>35.039966051974346</v>
          </cell>
          <cell r="H41">
            <v>35.159452435477945</v>
          </cell>
          <cell r="I41">
            <v>35.603175973843797</v>
          </cell>
        </row>
        <row r="42">
          <cell r="A42" t="str">
            <v>RNWSOL1</v>
          </cell>
          <cell r="C42" t="str">
            <v>SOL</v>
          </cell>
          <cell r="D42">
            <v>12.556532982312607</v>
          </cell>
          <cell r="E42">
            <v>16.523564180541666</v>
          </cell>
          <cell r="F42">
            <v>30.349277694143915</v>
          </cell>
          <cell r="G42">
            <v>32.983451345643964</v>
          </cell>
          <cell r="H42">
            <v>53.078282870995444</v>
          </cell>
          <cell r="I42">
            <v>67.519132433872016</v>
          </cell>
        </row>
        <row r="43">
          <cell r="A43" t="str">
            <v>IMPHFO1</v>
          </cell>
          <cell r="C43" t="str">
            <v>HFO</v>
          </cell>
          <cell r="D43">
            <v>2.7763883742389397</v>
          </cell>
          <cell r="E43">
            <v>2.6376026654343394</v>
          </cell>
          <cell r="F43">
            <v>3.277761678168145E-3</v>
          </cell>
          <cell r="G43">
            <v>5.9545448046794064E-4</v>
          </cell>
          <cell r="H43">
            <v>7.0543166391569701E-4</v>
          </cell>
        </row>
        <row r="44">
          <cell r="A44" t="str">
            <v>RNWHYDD1</v>
          </cell>
          <cell r="C44" t="str">
            <v>HYDD</v>
          </cell>
          <cell r="D44">
            <v>66.745680000010836</v>
          </cell>
          <cell r="E44">
            <v>49.798802112454666</v>
          </cell>
          <cell r="F44">
            <v>68.534387711104657</v>
          </cell>
          <cell r="G44">
            <v>70.34291557821463</v>
          </cell>
          <cell r="H44">
            <v>72.511307323161816</v>
          </cell>
          <cell r="I44">
            <v>74.680995636390577</v>
          </cell>
        </row>
        <row r="45">
          <cell r="A45" t="str">
            <v>IMPKER</v>
          </cell>
          <cell r="C45" t="str">
            <v>KER</v>
          </cell>
          <cell r="D45">
            <v>1.108289116965014</v>
          </cell>
          <cell r="E45">
            <v>1.4051977974312553</v>
          </cell>
          <cell r="F45">
            <v>1.8476578235255878</v>
          </cell>
          <cell r="G45">
            <v>2.56418540520629</v>
          </cell>
          <cell r="H45">
            <v>1.1566400650028736</v>
          </cell>
          <cell r="I45">
            <v>0.75515650410006518</v>
          </cell>
        </row>
        <row r="46">
          <cell r="A46" t="str">
            <v>IMPBDS</v>
          </cell>
          <cell r="C46" t="str">
            <v>BDS</v>
          </cell>
          <cell r="D46">
            <v>2.3490128866760491</v>
          </cell>
          <cell r="E46">
            <v>2.3780130869690796</v>
          </cell>
          <cell r="F46">
            <v>3.3165252229331328</v>
          </cell>
          <cell r="G46">
            <v>3.5496842582430452</v>
          </cell>
          <cell r="H46">
            <v>4.3687768676600065</v>
          </cell>
          <cell r="I46">
            <v>4.3684513563141829</v>
          </cell>
        </row>
        <row r="47">
          <cell r="A47" t="str">
            <v>IMPCOA1</v>
          </cell>
          <cell r="C47" t="str">
            <v>COA</v>
          </cell>
          <cell r="D47">
            <v>3.6600241734758403</v>
          </cell>
          <cell r="E47">
            <v>3.5647234892238471</v>
          </cell>
          <cell r="F47">
            <v>3.2533415669808079</v>
          </cell>
          <cell r="G47">
            <v>6.70593123568595E-3</v>
          </cell>
          <cell r="H47">
            <v>6.3286740870591672E-4</v>
          </cell>
          <cell r="I47">
            <v>3.4793620773534078E-4</v>
          </cell>
        </row>
        <row r="48">
          <cell r="A48" t="str">
            <v>IMPETH</v>
          </cell>
          <cell r="C48" t="str">
            <v>ETH</v>
          </cell>
          <cell r="D48">
            <v>4.4341527830967298</v>
          </cell>
          <cell r="E48">
            <v>4.3966184206712287</v>
          </cell>
          <cell r="F48">
            <v>3.9743264076413043</v>
          </cell>
          <cell r="G48">
            <v>3.2245000683339358</v>
          </cell>
          <cell r="H48">
            <v>2.1932164493794124</v>
          </cell>
          <cell r="I48">
            <v>1.63237636576433</v>
          </cell>
        </row>
        <row r="49">
          <cell r="A49" t="str">
            <v>IMPELC_DE</v>
          </cell>
          <cell r="C49" t="str">
            <v>ELC_I-DE</v>
          </cell>
          <cell r="D49">
            <v>46.398478887005879</v>
          </cell>
          <cell r="E49">
            <v>33.314640294422183</v>
          </cell>
          <cell r="F49">
            <v>31.586498718089356</v>
          </cell>
          <cell r="G49">
            <v>35.9275026828956</v>
          </cell>
          <cell r="H49">
            <v>32.601357781870043</v>
          </cell>
          <cell r="I49">
            <v>27.21930933392062</v>
          </cell>
        </row>
        <row r="50">
          <cell r="A50" t="str">
            <v>IMPELC_DE</v>
          </cell>
          <cell r="C50" t="str">
            <v>ELCS</v>
          </cell>
          <cell r="D50">
            <v>46.398478887005879</v>
          </cell>
          <cell r="E50">
            <v>33.314640294422183</v>
          </cell>
          <cell r="F50">
            <v>31.586498718089356</v>
          </cell>
          <cell r="G50">
            <v>35.9275026828956</v>
          </cell>
          <cell r="H50">
            <v>32.601357781870043</v>
          </cell>
          <cell r="I50">
            <v>27.21930933392062</v>
          </cell>
        </row>
        <row r="51">
          <cell r="A51" t="str">
            <v>RNWWST1</v>
          </cell>
          <cell r="C51" t="str">
            <v>WSTREN</v>
          </cell>
          <cell r="D51">
            <v>34.100456609160702</v>
          </cell>
          <cell r="E51">
            <v>34.813924261433527</v>
          </cell>
          <cell r="F51">
            <v>34.81393642141542</v>
          </cell>
          <cell r="G51">
            <v>34.813927794341652</v>
          </cell>
          <cell r="H51">
            <v>34.822740583193486</v>
          </cell>
          <cell r="I51">
            <v>39.878740117441836</v>
          </cell>
        </row>
        <row r="52">
          <cell r="A52" t="str">
            <v>IMPNGA1</v>
          </cell>
          <cell r="C52" t="str">
            <v>NGA</v>
          </cell>
          <cell r="D52">
            <v>117.08258364583848</v>
          </cell>
          <cell r="E52">
            <v>106.71999986044118</v>
          </cell>
          <cell r="F52">
            <v>105.92843762674161</v>
          </cell>
          <cell r="G52">
            <v>102.02943697435552</v>
          </cell>
          <cell r="H52">
            <v>94.202409132162543</v>
          </cell>
          <cell r="I52">
            <v>96.651765320470858</v>
          </cell>
        </row>
        <row r="53">
          <cell r="A53" t="str">
            <v>IMPELC_IT</v>
          </cell>
          <cell r="C53" t="str">
            <v>ELC_I-IT</v>
          </cell>
          <cell r="D53">
            <v>6.7991009353552316</v>
          </cell>
          <cell r="E53">
            <v>4.0183642745675248E-4</v>
          </cell>
          <cell r="F53">
            <v>3.3175534906292856E-4</v>
          </cell>
          <cell r="G53">
            <v>1.4664551566064736E-4</v>
          </cell>
          <cell r="H53">
            <v>1.8731815769947017E-4</v>
          </cell>
          <cell r="I53">
            <v>1.6850812357608604E-4</v>
          </cell>
        </row>
        <row r="54">
          <cell r="A54" t="str">
            <v>IMPELC_IT</v>
          </cell>
          <cell r="C54" t="str">
            <v>ELCS</v>
          </cell>
          <cell r="D54">
            <v>6.7991009353552316</v>
          </cell>
          <cell r="E54">
            <v>4.0183642745675248E-4</v>
          </cell>
          <cell r="F54">
            <v>3.3175534906292856E-4</v>
          </cell>
          <cell r="G54">
            <v>1.4664551566064736E-4</v>
          </cell>
          <cell r="H54">
            <v>1.8731815769947017E-4</v>
          </cell>
          <cell r="I54">
            <v>1.6850812357608604E-4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3.268250990696004</v>
          </cell>
          <cell r="E4">
            <v>3.8320034359212261</v>
          </cell>
          <cell r="F4">
            <v>0.69141094947495163</v>
          </cell>
          <cell r="G4">
            <v>1.0933956567716556</v>
          </cell>
          <cell r="H4">
            <v>1.5591394122237847</v>
          </cell>
          <cell r="I4">
            <v>1.9232390111115258</v>
          </cell>
          <cell r="J4"/>
          <cell r="K4"/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3.268250990696004</v>
          </cell>
          <cell r="E5">
            <v>3.8320034359212261</v>
          </cell>
          <cell r="F5">
            <v>0.69141094947495163</v>
          </cell>
          <cell r="G5">
            <v>1.0933956567716556</v>
          </cell>
          <cell r="H5">
            <v>1.5591394122237847</v>
          </cell>
          <cell r="I5">
            <v>1.9232390111115258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6.1433575893303456E-5</v>
          </cell>
          <cell r="F6">
            <v>5.8157003593376111E-5</v>
          </cell>
          <cell r="G6">
            <v>1.0694282514802239E-4</v>
          </cell>
          <cell r="H6">
            <v>6.7421388603110916E-5</v>
          </cell>
          <cell r="I6">
            <v>1.4575978725948769E-4</v>
          </cell>
          <cell r="J6"/>
          <cell r="K6"/>
        </row>
        <row r="7">
          <cell r="A7" t="str">
            <v>RHNS-SHSTG-SOL</v>
          </cell>
          <cell r="B7" t="str">
            <v>VAR_fin</v>
          </cell>
          <cell r="C7" t="str">
            <v>RHNS-SHASOL</v>
          </cell>
          <cell r="D7"/>
          <cell r="E7">
            <v>2.2237667862387614E-5</v>
          </cell>
          <cell r="F7">
            <v>4.6728202764798282E-5</v>
          </cell>
          <cell r="G7">
            <v>1.0303983529326983E-4</v>
          </cell>
          <cell r="H7">
            <v>6.9907945428943121E-5</v>
          </cell>
          <cell r="I7">
            <v>1.5332680173556494E-4</v>
          </cell>
          <cell r="J7"/>
          <cell r="K7"/>
        </row>
        <row r="8">
          <cell r="A8" t="str">
            <v>RHNS-SHSTG-SOL</v>
          </cell>
          <cell r="B8" t="str">
            <v>VAR_ncap</v>
          </cell>
          <cell r="C8" t="str">
            <v>-</v>
          </cell>
          <cell r="D8">
            <v>8.1189263991585101E-5</v>
          </cell>
          <cell r="E8">
            <v>1.70194814547642E-6</v>
          </cell>
          <cell r="F8">
            <v>7.2448487961335097E-5</v>
          </cell>
          <cell r="G8">
            <v>3.9331863305510399E-6</v>
          </cell>
          <cell r="H8">
            <v>1.0012765489564401E-5</v>
          </cell>
          <cell r="I8">
            <v>2.2324106554244101E-5</v>
          </cell>
          <cell r="J8"/>
          <cell r="K8"/>
          <cell r="L8"/>
        </row>
        <row r="9">
          <cell r="A9" t="str">
            <v>RHNS-SHSTG-SOL</v>
          </cell>
          <cell r="B9" t="str">
            <v>VAR_cap</v>
          </cell>
          <cell r="C9" t="str">
            <v>-</v>
          </cell>
          <cell r="D9">
            <v>8.1189263991585101E-5</v>
          </cell>
          <cell r="E9">
            <v>8.2891212137061501E-5</v>
          </cell>
          <cell r="F9">
            <v>1.55339700098397E-4</v>
          </cell>
          <cell r="G9">
            <v>1.59272886428948E-4</v>
          </cell>
          <cell r="H9">
            <v>2.5955054028092101E-5</v>
          </cell>
          <cell r="I9">
            <v>2.97699546024407E-5</v>
          </cell>
          <cell r="J9"/>
        </row>
        <row r="10">
          <cell r="A10" t="str">
            <v>RHNM-SHLFOBR</v>
          </cell>
          <cell r="B10" t="str">
            <v>VAR_fout</v>
          </cell>
          <cell r="C10" t="str">
            <v>CO2_R</v>
          </cell>
          <cell r="D10"/>
          <cell r="E10">
            <v>1.1346616582732099E-3</v>
          </cell>
          <cell r="F10">
            <v>7.8233063886552801</v>
          </cell>
          <cell r="G10">
            <v>11.9596035390234</v>
          </cell>
          <cell r="H10">
            <v>13.557985389164401</v>
          </cell>
          <cell r="I10"/>
          <cell r="J10"/>
        </row>
        <row r="11">
          <cell r="A11" t="str">
            <v>RHNM-SHLFOBR</v>
          </cell>
          <cell r="B11" t="str">
            <v>VAR_fout</v>
          </cell>
          <cell r="C11" t="str">
            <v>RHNM-SHLFO</v>
          </cell>
          <cell r="D11"/>
          <cell r="E11">
            <v>1.3791963847169843E-5</v>
          </cell>
          <cell r="F11">
            <v>0.10080965922206352</v>
          </cell>
          <cell r="G11">
            <v>0.1541136491380132</v>
          </cell>
          <cell r="H11">
            <v>0.17471587376613307</v>
          </cell>
          <cell r="I11"/>
          <cell r="J11"/>
          <cell r="K11"/>
          <cell r="L11"/>
        </row>
        <row r="12">
          <cell r="A12" t="str">
            <v>RHNM-SHLFOBR</v>
          </cell>
          <cell r="B12" t="str">
            <v>VAR_fin</v>
          </cell>
          <cell r="C12" t="str">
            <v>RLFO</v>
          </cell>
          <cell r="D12"/>
          <cell r="E12">
            <v>1.5395680573584943E-5</v>
          </cell>
          <cell r="F12">
            <v>0.10615069726805006</v>
          </cell>
          <cell r="G12">
            <v>0.16227413214414327</v>
          </cell>
          <cell r="H12">
            <v>0.18396180989368233</v>
          </cell>
          <cell r="I12"/>
        </row>
        <row r="13">
          <cell r="A13" t="str">
            <v>RHNM-SHLFOBR</v>
          </cell>
          <cell r="B13" t="str">
            <v>VAR_ncap</v>
          </cell>
          <cell r="C13" t="str">
            <v>-</v>
          </cell>
          <cell r="D13"/>
          <cell r="E13">
            <v>2.1604050700983602E-5</v>
          </cell>
          <cell r="F13">
            <v>7.6582206906866096E-2</v>
          </cell>
          <cell r="G13"/>
          <cell r="H13"/>
          <cell r="I13"/>
          <cell r="J13"/>
          <cell r="K13"/>
        </row>
        <row r="14">
          <cell r="A14" t="str">
            <v>RHNM-SHLFOBR</v>
          </cell>
          <cell r="B14" t="str">
            <v>VAR_cap</v>
          </cell>
          <cell r="C14" t="str">
            <v>-</v>
          </cell>
          <cell r="D14"/>
          <cell r="E14">
            <v>2.1604050700983602E-5</v>
          </cell>
          <cell r="F14">
            <v>7.6597416952313258E-2</v>
          </cell>
          <cell r="G14">
            <v>7.6591202268949735E-2</v>
          </cell>
          <cell r="H14">
            <v>1.3564363260591031E-2</v>
          </cell>
          <cell r="I14"/>
          <cell r="J14"/>
          <cell r="K14"/>
          <cell r="L14"/>
          <cell r="M14"/>
        </row>
        <row r="15">
          <cell r="A15" t="str">
            <v>RHNS-SHNGAHP</v>
          </cell>
          <cell r="B15" t="str">
            <v>VAR_fout</v>
          </cell>
          <cell r="C15" t="str">
            <v>CO2_R</v>
          </cell>
          <cell r="D15"/>
          <cell r="E15"/>
          <cell r="F15">
            <v>4.8915753819676304</v>
          </cell>
          <cell r="G15">
            <v>15.641668938851</v>
          </cell>
          <cell r="H15">
            <v>27.746738343619299</v>
          </cell>
          <cell r="I15">
            <v>36.614891039547103</v>
          </cell>
        </row>
        <row r="16">
          <cell r="A16" t="str">
            <v>RHNS-SHNGAHP</v>
          </cell>
          <cell r="B16" t="str">
            <v>VAR_fout</v>
          </cell>
          <cell r="C16" t="str">
            <v>RHNS-SHANGAH</v>
          </cell>
          <cell r="D16"/>
          <cell r="E16"/>
          <cell r="F16">
            <v>0.16752261715396424</v>
          </cell>
          <cell r="G16">
            <v>0.54356425521115515</v>
          </cell>
          <cell r="H16">
            <v>0.97985090395895058</v>
          </cell>
          <cell r="I16">
            <v>1.307461454331706</v>
          </cell>
          <cell r="J16"/>
          <cell r="K16"/>
          <cell r="L16"/>
        </row>
        <row r="17">
          <cell r="A17" t="str">
            <v>RHNS-SHNGAHP</v>
          </cell>
          <cell r="B17" t="str">
            <v>VAR_fin</v>
          </cell>
          <cell r="C17" t="str">
            <v>RNGA</v>
          </cell>
          <cell r="D17"/>
          <cell r="E17"/>
          <cell r="F17">
            <v>8.6730059963964906E-2</v>
          </cell>
          <cell r="G17">
            <v>0.27733455565338727</v>
          </cell>
          <cell r="H17">
            <v>0.49196344580885271</v>
          </cell>
          <cell r="I17">
            <v>0.64920019573665022</v>
          </cell>
          <cell r="J17"/>
        </row>
        <row r="18">
          <cell r="A18" t="str">
            <v>RHNS-SHNGAHP</v>
          </cell>
          <cell r="B18" t="str">
            <v>VAR_fin</v>
          </cell>
          <cell r="C18" t="str">
            <v>RHNSELCHPC</v>
          </cell>
          <cell r="D18"/>
          <cell r="E18"/>
          <cell r="F18">
            <v>0.16752261715396424</v>
          </cell>
          <cell r="G18">
            <v>0.54356425521115515</v>
          </cell>
          <cell r="H18">
            <v>0.97985090395895058</v>
          </cell>
          <cell r="I18">
            <v>1.307461454331706</v>
          </cell>
          <cell r="J18"/>
          <cell r="K18"/>
        </row>
        <row r="19">
          <cell r="A19" t="str">
            <v>RHNS-SHNGAHP</v>
          </cell>
          <cell r="B19" t="str">
            <v>VAR_ncap</v>
          </cell>
          <cell r="C19" t="str">
            <v>-</v>
          </cell>
          <cell r="D19"/>
          <cell r="E19">
            <v>4.1971356368127601E-7</v>
          </cell>
          <cell r="F19">
            <v>1.2237682461786199E-2</v>
          </cell>
          <cell r="G19">
            <v>2.73722792726106E-2</v>
          </cell>
          <cell r="H19">
            <v>3.3294994410785803E-2</v>
          </cell>
          <cell r="I19">
            <v>6.4040637392088096E-2</v>
          </cell>
          <cell r="J19"/>
          <cell r="K19"/>
          <cell r="L19"/>
        </row>
        <row r="20">
          <cell r="A20" t="str">
            <v>RHNS-SHNGAHP</v>
          </cell>
          <cell r="B20" t="str">
            <v>VAR_cap</v>
          </cell>
          <cell r="C20" t="str">
            <v>-</v>
          </cell>
          <cell r="D20"/>
          <cell r="E20">
            <v>4.1971356368127601E-7</v>
          </cell>
          <cell r="F20">
            <v>1.2237992464148582E-2</v>
          </cell>
          <cell r="G20">
            <v>3.9610216019512007E-2</v>
          </cell>
          <cell r="H20">
            <v>7.1616157763082361E-2</v>
          </cell>
          <cell r="I20">
            <v>9.5588876277196977E-2</v>
          </cell>
          <cell r="J20"/>
          <cell r="K20"/>
        </row>
        <row r="21">
          <cell r="A21" t="str">
            <v>ITOT-SWHPLTBR</v>
          </cell>
          <cell r="B21" t="str">
            <v>VAR_fout</v>
          </cell>
          <cell r="C21" t="str">
            <v>ITOT-SWH</v>
          </cell>
          <cell r="D21">
            <v>0.46153029641525228</v>
          </cell>
          <cell r="E21">
            <v>0.54457994249643371</v>
          </cell>
          <cell r="F21">
            <v>0.54482016693279922</v>
          </cell>
          <cell r="G21">
            <v>0.54482085654666312</v>
          </cell>
          <cell r="H21">
            <v>0.54483337386313102</v>
          </cell>
          <cell r="I21">
            <v>0.54483520526892892</v>
          </cell>
          <cell r="J21"/>
          <cell r="K21"/>
        </row>
        <row r="22">
          <cell r="A22" t="str">
            <v>ITOT-SWHPLTBR</v>
          </cell>
          <cell r="B22" t="str">
            <v>VAR_fin</v>
          </cell>
          <cell r="C22" t="str">
            <v>ITOTPLTBRC</v>
          </cell>
          <cell r="D22">
            <v>0.46153029641525228</v>
          </cell>
          <cell r="E22">
            <v>0.54457994249643371</v>
          </cell>
          <cell r="F22">
            <v>0.54482016693279922</v>
          </cell>
          <cell r="G22">
            <v>0.54482085654666312</v>
          </cell>
          <cell r="H22">
            <v>0.54483337386313102</v>
          </cell>
          <cell r="I22">
            <v>0.54483520526892892</v>
          </cell>
          <cell r="J22"/>
          <cell r="K22"/>
          <cell r="L22"/>
        </row>
        <row r="23">
          <cell r="A23" t="str">
            <v>ITOT-SWHPLTBR</v>
          </cell>
          <cell r="B23" t="str">
            <v>VAR_fin</v>
          </cell>
          <cell r="C23" t="str">
            <v>IPLT</v>
          </cell>
          <cell r="D23">
            <v>0.62580379174949397</v>
          </cell>
          <cell r="E23">
            <v>0.73758005755724709</v>
          </cell>
          <cell r="F23">
            <v>0.73665825388096751</v>
          </cell>
          <cell r="G23">
            <v>0.73458991893932046</v>
          </cell>
          <cell r="H23">
            <v>0.73050284763771689</v>
          </cell>
          <cell r="I23">
            <v>0.72644694035857182</v>
          </cell>
        </row>
        <row r="24">
          <cell r="A24" t="str">
            <v>ITOT-SWHPLTBR</v>
          </cell>
          <cell r="B24" t="str">
            <v>VAR_ncap</v>
          </cell>
          <cell r="C24" t="str">
            <v>-</v>
          </cell>
          <cell r="D24"/>
          <cell r="E24">
            <v>8.1608913870229206E-3</v>
          </cell>
          <cell r="F24">
            <v>2.62162775980626E-5</v>
          </cell>
          <cell r="G24">
            <v>8.7569189374721103E-6</v>
          </cell>
          <cell r="H24">
            <v>1.2099530897967699E-2</v>
          </cell>
          <cell r="I24">
            <v>1.9274326999212499E-2</v>
          </cell>
          <cell r="J24"/>
        </row>
        <row r="25">
          <cell r="A25" t="str">
            <v>ITOT-SWHPLTBR</v>
          </cell>
          <cell r="B25" t="str">
            <v>VAR_cap</v>
          </cell>
          <cell r="C25" t="str">
            <v>-</v>
          </cell>
          <cell r="D25">
            <v>2.9860759506449799E-2</v>
          </cell>
          <cell r="E25">
            <v>3.802009230810826E-2</v>
          </cell>
          <cell r="F25">
            <v>3.8016201684635501E-2</v>
          </cell>
          <cell r="G25">
            <v>3.8008287836926891E-2</v>
          </cell>
          <cell r="H25">
            <v>4.1156600529967786E-2</v>
          </cell>
          <cell r="I25">
            <v>4.0339778926828537E-2</v>
          </cell>
        </row>
        <row r="26">
          <cell r="A26" t="str">
            <v>D-RHNS_KEV_WOD_ELC_CHP</v>
          </cell>
          <cell r="B26" t="str">
            <v>VAR_fout</v>
          </cell>
          <cell r="C26" t="str">
            <v>RHNS_ELC</v>
          </cell>
          <cell r="D26"/>
          <cell r="E26"/>
          <cell r="F26"/>
          <cell r="G26">
            <v>2.5105565562170978E-4</v>
          </cell>
          <cell r="H26">
            <v>2.9704719608857403E-4</v>
          </cell>
          <cell r="I26">
            <v>1.7790238705922329E-4</v>
          </cell>
        </row>
        <row r="27">
          <cell r="A27" t="str">
            <v>D-RHNS_KEV_WOD_ELC_CHP</v>
          </cell>
          <cell r="B27" t="str">
            <v>VAR_fout</v>
          </cell>
          <cell r="C27" t="str">
            <v>ELC5</v>
          </cell>
          <cell r="D27"/>
          <cell r="E27"/>
          <cell r="F27"/>
          <cell r="G27">
            <v>2.5133332555059198E-4</v>
          </cell>
          <cell r="H27">
            <v>2.9728017812758335E-4</v>
          </cell>
          <cell r="I27">
            <v>1.7805369970844045E-4</v>
          </cell>
        </row>
        <row r="28">
          <cell r="A28" t="str">
            <v>D-RHNS_KEV_WOD_ELC_CHP</v>
          </cell>
          <cell r="B28" t="str">
            <v>VAR_fin</v>
          </cell>
          <cell r="C28" t="str">
            <v>RHNS_KEV_WOD_ELC_CHP</v>
          </cell>
          <cell r="D28"/>
          <cell r="E28"/>
          <cell r="F28"/>
          <cell r="G28">
            <v>4.900013448593351E-4</v>
          </cell>
          <cell r="H28">
            <v>5.8169502469670358E-4</v>
          </cell>
          <cell r="I28">
            <v>3.4332373724821011E-4</v>
          </cell>
          <cell r="J28"/>
          <cell r="K28"/>
        </row>
        <row r="29">
          <cell r="A29" t="str">
            <v>RHSA-WHWODBR</v>
          </cell>
          <cell r="B29" t="str">
            <v>VAR_fout</v>
          </cell>
          <cell r="C29" t="str">
            <v>RHSA-WHWOD</v>
          </cell>
          <cell r="D29">
            <v>0.52048282547138325</v>
          </cell>
          <cell r="E29">
            <v>0.59724678137668175</v>
          </cell>
          <cell r="F29">
            <v>1.189702528786388</v>
          </cell>
          <cell r="G29">
            <v>1.2834517175126323</v>
          </cell>
          <cell r="H29">
            <v>1.3648938078902213</v>
          </cell>
          <cell r="I29">
            <v>1.4203599379906495</v>
          </cell>
          <cell r="J29"/>
          <cell r="K29"/>
        </row>
        <row r="30">
          <cell r="A30" t="str">
            <v>RHSA-WHWODBR</v>
          </cell>
          <cell r="B30" t="str">
            <v>VAR_fin</v>
          </cell>
          <cell r="C30" t="str">
            <v>RWOD</v>
          </cell>
          <cell r="D30">
            <v>1.0409656509427663</v>
          </cell>
          <cell r="E30">
            <v>1.1944935627533635</v>
          </cell>
          <cell r="F30">
            <v>2.715448839106585</v>
          </cell>
          <cell r="G30">
            <v>2.8427624719855396</v>
          </cell>
          <cell r="H30">
            <v>2.906597840847446</v>
          </cell>
          <cell r="I30">
            <v>2.9166278725687969</v>
          </cell>
          <cell r="J30"/>
          <cell r="K30"/>
        </row>
        <row r="31">
          <cell r="A31" t="str">
            <v>RHSA-WHWODBR</v>
          </cell>
          <cell r="B31" t="str">
            <v>VAR_ncap</v>
          </cell>
          <cell r="C31" t="str">
            <v>-</v>
          </cell>
          <cell r="D31"/>
          <cell r="E31">
            <v>5.35553691676997E-3</v>
          </cell>
          <cell r="F31">
            <v>3.8125333861510499E-2</v>
          </cell>
          <cell r="G31">
            <v>8.9359839114867105E-3</v>
          </cell>
          <cell r="H31">
            <v>4.9495065897756901E-2</v>
          </cell>
          <cell r="I31">
            <v>4.80753737049983E-2</v>
          </cell>
          <cell r="J31"/>
          <cell r="K31"/>
        </row>
        <row r="32">
          <cell r="A32" t="str">
            <v>RHSA-WHWODBR</v>
          </cell>
          <cell r="B32" t="str">
            <v>VAR_cap</v>
          </cell>
          <cell r="C32" t="str">
            <v>-</v>
          </cell>
          <cell r="D32">
            <v>3.5322010722483803E-2</v>
          </cell>
          <cell r="E32">
            <v>4.0677396414341864E-2</v>
          </cell>
          <cell r="F32">
            <v>7.880240518421848E-2</v>
          </cell>
          <cell r="G32">
            <v>8.7738174653805193E-2</v>
          </cell>
          <cell r="H32">
            <v>9.3303673142548421E-2</v>
          </cell>
          <cell r="I32">
            <v>9.7088427328825416E-2</v>
          </cell>
          <cell r="J32"/>
          <cell r="K32"/>
        </row>
        <row r="33">
          <cell r="A33" t="str">
            <v>RHES-SHWODBR</v>
          </cell>
          <cell r="B33" t="str">
            <v>VAR_fout</v>
          </cell>
          <cell r="C33" t="str">
            <v>RHES-SHWOD</v>
          </cell>
          <cell r="D33">
            <v>4.3871679492477238</v>
          </cell>
          <cell r="E33">
            <v>5.0342751145544105</v>
          </cell>
          <cell r="F33">
            <v>5.2317436003407618</v>
          </cell>
          <cell r="G33">
            <v>4.5792309717748756</v>
          </cell>
          <cell r="H33">
            <v>3.2006067406065597</v>
          </cell>
          <cell r="I33">
            <v>2.0720998929865879</v>
          </cell>
          <cell r="J33"/>
          <cell r="K33"/>
        </row>
        <row r="34">
          <cell r="A34" t="str">
            <v>RHES-SHWODBR</v>
          </cell>
          <cell r="B34" t="str">
            <v>VAR_fin</v>
          </cell>
          <cell r="C34" t="str">
            <v>RWOD</v>
          </cell>
          <cell r="D34">
            <v>6.0932888183996177</v>
          </cell>
          <cell r="E34">
            <v>6.9920487702144598</v>
          </cell>
          <cell r="F34">
            <v>7.3069301525774737</v>
          </cell>
          <cell r="G34">
            <v>6.2871986324317168</v>
          </cell>
          <cell r="H34">
            <v>4.326106026947782</v>
          </cell>
          <cell r="I34">
            <v>2.7654571615669528</v>
          </cell>
          <cell r="J34"/>
        </row>
        <row r="35">
          <cell r="A35" t="str">
            <v>RHES-SHWODBR</v>
          </cell>
          <cell r="B35" t="str">
            <v>VAR_ncap</v>
          </cell>
          <cell r="C35" t="str">
            <v>-</v>
          </cell>
          <cell r="D35"/>
          <cell r="E35">
            <v>5.2295366215945598E-2</v>
          </cell>
          <cell r="F35">
            <v>1.5950170512959799E-2</v>
          </cell>
          <cell r="G35">
            <v>1.8878341791044301E-7</v>
          </cell>
          <cell r="H35">
            <v>8.1439039952820702E-2</v>
          </cell>
          <cell r="I35">
            <v>3.4533532121631898E-2</v>
          </cell>
          <cell r="J35"/>
        </row>
        <row r="36">
          <cell r="A36" t="str">
            <v>RHES-SHWODBR</v>
          </cell>
          <cell r="B36" t="str">
            <v>VAR_cap</v>
          </cell>
          <cell r="C36" t="str">
            <v>-</v>
          </cell>
          <cell r="D36">
            <v>0.354428052062076</v>
          </cell>
          <cell r="E36">
            <v>0.40672333874220357</v>
          </cell>
          <cell r="F36">
            <v>0.42267342669453367</v>
          </cell>
          <cell r="G36">
            <v>0.42267104721052984</v>
          </cell>
          <cell r="H36">
            <v>0.25867455803313599</v>
          </cell>
          <cell r="I36">
            <v>0.16741118958446699</v>
          </cell>
          <cell r="J36"/>
        </row>
        <row r="37">
          <cell r="A37" t="str">
            <v>SCOM-SHWODBR</v>
          </cell>
          <cell r="B37" t="str">
            <v>VAR_fout</v>
          </cell>
          <cell r="C37" t="str">
            <v>SCOM-SHWOD</v>
          </cell>
          <cell r="D37">
            <v>6.1735491224570991</v>
          </cell>
          <cell r="E37">
            <v>6.7779154979552656</v>
          </cell>
          <cell r="F37">
            <v>6.4441791461791906</v>
          </cell>
          <cell r="G37">
            <v>6.5777740480288598</v>
          </cell>
          <cell r="H37">
            <v>5.724033026179022</v>
          </cell>
          <cell r="I37">
            <v>5.0823461869888638</v>
          </cell>
          <cell r="J37"/>
          <cell r="K37"/>
          <cell r="L37"/>
          <cell r="M37"/>
        </row>
        <row r="38">
          <cell r="A38" t="str">
            <v>SCOM-SHWODBR</v>
          </cell>
          <cell r="B38" t="str">
            <v>VAR_fin</v>
          </cell>
          <cell r="C38" t="str">
            <v>SWOD</v>
          </cell>
          <cell r="D38">
            <v>8.5743737811904062</v>
          </cell>
          <cell r="E38">
            <v>9.4137715249378733</v>
          </cell>
          <cell r="F38">
            <v>9.5310150654032029</v>
          </cell>
          <cell r="G38">
            <v>9.6957956037317636</v>
          </cell>
          <cell r="H38">
            <v>8.4373610047419056</v>
          </cell>
          <cell r="I38">
            <v>7.4638623183141668</v>
          </cell>
          <cell r="J38"/>
          <cell r="K38"/>
          <cell r="L38"/>
          <cell r="M38"/>
        </row>
        <row r="39">
          <cell r="A39" t="str">
            <v>SCOM-SHWODBR</v>
          </cell>
          <cell r="B39" t="str">
            <v>VAR_ncap</v>
          </cell>
          <cell r="C39" t="str">
            <v>-</v>
          </cell>
          <cell r="D39">
            <v>8.3298746566447607E-6</v>
          </cell>
          <cell r="E39">
            <v>4.55204000918807E-2</v>
          </cell>
          <cell r="F39">
            <v>1.5148775297700601E-6</v>
          </cell>
          <cell r="G39">
            <v>2.3552408193978699E-6</v>
          </cell>
          <cell r="H39">
            <v>0.113591116071452</v>
          </cell>
          <cell r="I39">
            <v>0.174958616690743</v>
          </cell>
        </row>
        <row r="40">
          <cell r="A40" t="str">
            <v>SCOM-SHWODBR</v>
          </cell>
          <cell r="B40" t="str">
            <v>VAR_cap</v>
          </cell>
          <cell r="C40" t="str">
            <v>-</v>
          </cell>
          <cell r="D40">
            <v>0.47842860769176865</v>
          </cell>
          <cell r="E40">
            <v>0.52394883372697354</v>
          </cell>
          <cell r="F40">
            <v>0.52392836837139245</v>
          </cell>
          <cell r="G40">
            <v>0.52392575569441358</v>
          </cell>
          <cell r="H40">
            <v>0.44446954682130113</v>
          </cell>
          <cell r="I40">
            <v>0.39735440094362723</v>
          </cell>
        </row>
        <row r="41">
          <cell r="A41" t="str">
            <v>ITOT-SWHLTHCHP</v>
          </cell>
          <cell r="B41" t="str">
            <v>VAR_fout</v>
          </cell>
          <cell r="C41" t="str">
            <v>ITOT-SWH</v>
          </cell>
          <cell r="D41">
            <v>5.1850659289300083</v>
          </cell>
          <cell r="E41">
            <v>5.5675625877540389</v>
          </cell>
          <cell r="F41">
            <v>5.6786924621459187</v>
          </cell>
          <cell r="G41">
            <v>7.2047408293695092</v>
          </cell>
          <cell r="H41">
            <v>7.5770889246826867</v>
          </cell>
          <cell r="I41">
            <v>9.233685867269287</v>
          </cell>
          <cell r="J41"/>
          <cell r="K41"/>
        </row>
        <row r="42">
          <cell r="A42" t="str">
            <v>ITOT-SWHLTHCHP</v>
          </cell>
          <cell r="B42" t="str">
            <v>VAR_fin</v>
          </cell>
          <cell r="C42" t="str">
            <v>ITOTLTHCHPC</v>
          </cell>
          <cell r="D42">
            <v>5.1850659289300083</v>
          </cell>
          <cell r="E42">
            <v>5.5675625877540389</v>
          </cell>
          <cell r="F42">
            <v>5.6786924621459187</v>
          </cell>
          <cell r="G42">
            <v>7.2047408293695092</v>
          </cell>
          <cell r="H42">
            <v>7.5770889246826867</v>
          </cell>
          <cell r="I42">
            <v>9.233685867269287</v>
          </cell>
          <cell r="J42"/>
          <cell r="K42"/>
        </row>
        <row r="43">
          <cell r="A43" t="str">
            <v>ITOT-SWHLTHCHP</v>
          </cell>
          <cell r="B43" t="str">
            <v>VAR_fin</v>
          </cell>
          <cell r="C43" t="str">
            <v>ITOT_LTH_CHP_ON</v>
          </cell>
          <cell r="D43">
            <v>5.6086523148375171</v>
          </cell>
          <cell r="E43">
            <v>6.0095248986634138</v>
          </cell>
          <cell r="F43">
            <v>6.1098885814752766</v>
          </cell>
          <cell r="G43">
            <v>7.710744799748702</v>
          </cell>
          <cell r="H43">
            <v>8.0242203060897292</v>
          </cell>
          <cell r="I43">
            <v>9.7196693339676745</v>
          </cell>
          <cell r="J43"/>
          <cell r="K43"/>
        </row>
        <row r="44">
          <cell r="A44" t="str">
            <v>ITOT-SWHLTHCHP</v>
          </cell>
          <cell r="B44" t="str">
            <v>VAR_ncap</v>
          </cell>
          <cell r="C44" t="str">
            <v>-</v>
          </cell>
          <cell r="D44"/>
          <cell r="E44">
            <v>3.0435987930348601E-2</v>
          </cell>
          <cell r="F44">
            <v>5.1009152858486499E-2</v>
          </cell>
          <cell r="G44">
            <v>0.10139756843113901</v>
          </cell>
          <cell r="H44">
            <v>0.13156612326471501</v>
          </cell>
          <cell r="I44">
            <v>0.34487893829344202</v>
          </cell>
          <cell r="J44"/>
          <cell r="K44"/>
          <cell r="L44"/>
        </row>
        <row r="45">
          <cell r="A45" t="str">
            <v>ITOT-SWHLTHCHP</v>
          </cell>
          <cell r="B45" t="str">
            <v>VAR_cap</v>
          </cell>
          <cell r="C45" t="str">
            <v>-</v>
          </cell>
          <cell r="D45">
            <v>0.62661755442165901</v>
          </cell>
          <cell r="E45">
            <v>0.33031623997231063</v>
          </cell>
          <cell r="F45">
            <v>0.34727159677098512</v>
          </cell>
          <cell r="G45">
            <v>0.41987343704755603</v>
          </cell>
          <cell r="H45">
            <v>0.43899604955495303</v>
          </cell>
          <cell r="I45">
            <v>0.53025882426327453</v>
          </cell>
          <cell r="J45"/>
          <cell r="K45"/>
        </row>
        <row r="46">
          <cell r="A46" t="str">
            <v>RHSA-WHSTG-NGAHP</v>
          </cell>
          <cell r="B46" t="str">
            <v>VAR_fout</v>
          </cell>
          <cell r="C46" t="str">
            <v>RHSA-WHANGAH</v>
          </cell>
          <cell r="D46"/>
          <cell r="E46"/>
          <cell r="F46">
            <v>3.0277670296320679E-3</v>
          </cell>
          <cell r="G46">
            <v>1.896482897000451E-3</v>
          </cell>
          <cell r="H46">
            <v>1.7100256728716234E-3</v>
          </cell>
          <cell r="I46">
            <v>8.5762402227709769E-2</v>
          </cell>
          <cell r="J46"/>
          <cell r="K46"/>
        </row>
        <row r="47">
          <cell r="A47" t="str">
            <v>RHSA-WHSTG-NGAHP</v>
          </cell>
          <cell r="B47" t="str">
            <v>VAR_fin</v>
          </cell>
          <cell r="C47" t="str">
            <v>RHSA-WHANGAH</v>
          </cell>
          <cell r="D47"/>
          <cell r="E47"/>
          <cell r="F47">
            <v>3.0474304598970435E-3</v>
          </cell>
          <cell r="G47">
            <v>1.9131410907894499E-3</v>
          </cell>
          <cell r="H47">
            <v>1.7150295241701522E-3</v>
          </cell>
          <cell r="I47">
            <v>8.5773127266039653E-2</v>
          </cell>
          <cell r="J47"/>
          <cell r="K47"/>
        </row>
        <row r="48">
          <cell r="A48" t="str">
            <v>RHSA-WHSTG-NGAHP</v>
          </cell>
          <cell r="B48" t="str">
            <v>VAR_ncap</v>
          </cell>
          <cell r="C48" t="str">
            <v>-</v>
          </cell>
          <cell r="D48">
            <v>1.0045357335343499E-5</v>
          </cell>
          <cell r="E48">
            <v>1.3186588821937999E-5</v>
          </cell>
          <cell r="F48">
            <v>1.4133407153140201E-2</v>
          </cell>
          <cell r="G48">
            <v>2.0497022613254898E-2</v>
          </cell>
          <cell r="H48">
            <v>3.3274767874622399E-2</v>
          </cell>
          <cell r="I48">
            <v>6.7417391580360905E-2</v>
          </cell>
          <cell r="J48"/>
          <cell r="K48"/>
        </row>
        <row r="49">
          <cell r="A49" t="str">
            <v>RHSA-WHSTG-NGAHP</v>
          </cell>
          <cell r="B49" t="str">
            <v>VAR_cap</v>
          </cell>
          <cell r="C49" t="str">
            <v>-</v>
          </cell>
          <cell r="D49">
            <v>1.0049697175404003E-5</v>
          </cell>
          <cell r="E49">
            <v>6.0906114460160292E-7</v>
          </cell>
          <cell r="F49">
            <v>1.4127894260853566E-2</v>
          </cell>
          <cell r="G49">
            <v>3.4617236868035708E-2</v>
          </cell>
          <cell r="H49">
            <v>6.8408373565346389E-2</v>
          </cell>
          <cell r="I49">
            <v>9.9431850976750669E-2</v>
          </cell>
          <cell r="J49"/>
          <cell r="K49"/>
        </row>
        <row r="50">
          <cell r="A50" t="str">
            <v>D-RES_LTH</v>
          </cell>
          <cell r="B50" t="str">
            <v>VAR_fout</v>
          </cell>
          <cell r="C50" t="str">
            <v>RHNS_LTH_DH</v>
          </cell>
          <cell r="D50"/>
          <cell r="E50">
            <v>5.4527305374933999E-2</v>
          </cell>
          <cell r="F50">
            <v>4.5180450414387232E-3</v>
          </cell>
          <cell r="G50">
            <v>7.121106754302658E-3</v>
          </cell>
          <cell r="H50">
            <v>1.1268314757990975E-2</v>
          </cell>
          <cell r="I50">
            <v>1.3955640530878452E-2</v>
          </cell>
          <cell r="J50"/>
          <cell r="K50"/>
        </row>
        <row r="51">
          <cell r="A51" t="str">
            <v>D-RES_LTH</v>
          </cell>
          <cell r="B51" t="str">
            <v>VAR_fout</v>
          </cell>
          <cell r="C51" t="str">
            <v>RHEM_LTH_DH</v>
          </cell>
          <cell r="D51">
            <v>3.4260647608292558</v>
          </cell>
          <cell r="E51">
            <v>3.8270412948519441</v>
          </cell>
          <cell r="F51">
            <v>4.9162557851376008</v>
          </cell>
          <cell r="G51">
            <v>5.4123474786288499</v>
          </cell>
          <cell r="H51">
            <v>5.604882186877381</v>
          </cell>
          <cell r="I51">
            <v>5.6673277800216884</v>
          </cell>
          <cell r="J51"/>
          <cell r="K51"/>
        </row>
        <row r="52">
          <cell r="A52" t="str">
            <v>D-RES_LTH</v>
          </cell>
          <cell r="B52" t="str">
            <v>VAR_fout</v>
          </cell>
          <cell r="C52" t="str">
            <v>RHES_LTH_DH</v>
          </cell>
          <cell r="D52">
            <v>3.1822354677682738</v>
          </cell>
          <cell r="E52">
            <v>3.5392130954309158</v>
          </cell>
          <cell r="F52">
            <v>1.5917256132109145</v>
          </cell>
          <cell r="G52">
            <v>1.7776105650866028</v>
          </cell>
          <cell r="H52">
            <v>1.8710004747898739</v>
          </cell>
          <cell r="I52">
            <v>1.9056950966739221</v>
          </cell>
          <cell r="J52"/>
          <cell r="K52"/>
        </row>
        <row r="53">
          <cell r="A53" t="str">
            <v>D-RES_LTH</v>
          </cell>
          <cell r="B53" t="str">
            <v>VAR_fout</v>
          </cell>
          <cell r="C53" t="str">
            <v>RHSA_LTH</v>
          </cell>
          <cell r="D53">
            <v>1.731711062735831</v>
          </cell>
          <cell r="E53">
            <v>1.895562150347414</v>
          </cell>
          <cell r="F53">
            <v>1.736966620376629</v>
          </cell>
          <cell r="G53">
            <v>0.71341904405576329</v>
          </cell>
          <cell r="H53">
            <v>5.2827757897331825E-4</v>
          </cell>
          <cell r="I53">
            <v>1.3215205892749585E-4</v>
          </cell>
          <cell r="J53"/>
          <cell r="K53"/>
        </row>
        <row r="54">
          <cell r="A54" t="str">
            <v>D-RES_LTH</v>
          </cell>
          <cell r="B54" t="str">
            <v>VAR_fout</v>
          </cell>
          <cell r="C54" t="str">
            <v>RHNM_LTH_DH</v>
          </cell>
          <cell r="D54"/>
          <cell r="E54">
            <v>0.35017102830435387</v>
          </cell>
          <cell r="F54">
            <v>6.5644925768868115E-2</v>
          </cell>
          <cell r="G54">
            <v>0.12191524370646675</v>
          </cell>
          <cell r="H54">
            <v>0.19423159140681345</v>
          </cell>
          <cell r="I54">
            <v>0.245912010630398</v>
          </cell>
          <cell r="J54"/>
          <cell r="K54"/>
        </row>
        <row r="55">
          <cell r="A55" t="str">
            <v>D-RES_LTH</v>
          </cell>
          <cell r="B55" t="str">
            <v>VAR_fin</v>
          </cell>
          <cell r="C55" t="str">
            <v>LTH</v>
          </cell>
          <cell r="D55">
            <v>9.2187405303822434</v>
          </cell>
          <cell r="E55">
            <v>10.684726466508334</v>
          </cell>
          <cell r="F55">
            <v>9.170475053991634</v>
          </cell>
          <cell r="G55">
            <v>8.8260073800889725</v>
          </cell>
          <cell r="H55">
            <v>8.3790624675063636</v>
          </cell>
          <cell r="I55">
            <v>8.4817555865555754</v>
          </cell>
          <cell r="J55"/>
          <cell r="K55"/>
        </row>
        <row r="56">
          <cell r="A56" t="str">
            <v>D-RES_LTH</v>
          </cell>
          <cell r="B56" t="str">
            <v>VAR_ncap</v>
          </cell>
          <cell r="C56" t="str">
            <v>-</v>
          </cell>
          <cell r="D56">
            <v>0.62767613235391895</v>
          </cell>
          <cell r="E56">
            <v>2.09956883630465E-6</v>
          </cell>
          <cell r="F56">
            <v>6.8171601588498896E-8</v>
          </cell>
          <cell r="G56">
            <v>7.91371307575691E-8</v>
          </cell>
          <cell r="H56">
            <v>1.4698755974575399E-7</v>
          </cell>
          <cell r="I56">
            <v>1.20178847265089E-7</v>
          </cell>
          <cell r="J56"/>
          <cell r="K56"/>
        </row>
        <row r="57">
          <cell r="A57" t="str">
            <v>D-RES_LTH</v>
          </cell>
          <cell r="B57" t="str">
            <v>VAR_cap</v>
          </cell>
          <cell r="C57" t="str">
            <v>-</v>
          </cell>
          <cell r="D57">
            <v>0.62767613235391895</v>
          </cell>
          <cell r="E57">
            <v>0.62767823192275496</v>
          </cell>
          <cell r="F57">
            <v>0.62767830009435699</v>
          </cell>
          <cell r="G57">
            <v>0.62767837923148795</v>
          </cell>
          <cell r="H57">
            <v>0.62767864703009302</v>
          </cell>
          <cell r="I57">
            <v>0.62767876720894</v>
          </cell>
          <cell r="J57"/>
          <cell r="K57"/>
        </row>
        <row r="58">
          <cell r="A58" t="str">
            <v>D-RHEM_NKEV_GAS_ELC_CHP</v>
          </cell>
          <cell r="B58" t="str">
            <v>VAR_fout</v>
          </cell>
          <cell r="C58" t="str">
            <v>ELC5</v>
          </cell>
          <cell r="D58">
            <v>1.3775614630707164E-2</v>
          </cell>
          <cell r="E58">
            <v>6.2696606517133465E-4</v>
          </cell>
          <cell r="F58">
            <v>1.8627279004198437E-3</v>
          </cell>
          <cell r="G58">
            <v>0.16793041943272821</v>
          </cell>
          <cell r="H58">
            <v>0.9496368141091196</v>
          </cell>
          <cell r="I58">
            <v>1.1380583389155634</v>
          </cell>
          <cell r="J58"/>
          <cell r="K58"/>
        </row>
        <row r="59">
          <cell r="A59" t="str">
            <v>D-RHEM_NKEV_GAS_ELC_CHP</v>
          </cell>
          <cell r="B59" t="str">
            <v>VAR_fout</v>
          </cell>
          <cell r="C59" t="str">
            <v>RHEM_ELC</v>
          </cell>
          <cell r="D59">
            <v>1.431252939718439E-2</v>
          </cell>
          <cell r="E59">
            <v>6.2684777314072411E-4</v>
          </cell>
          <cell r="F59">
            <v>1.8597803956941009E-3</v>
          </cell>
          <cell r="G59">
            <v>0.16673217421562594</v>
          </cell>
          <cell r="H59">
            <v>0.91073204922063367</v>
          </cell>
          <cell r="I59">
            <v>1.0802843341233672</v>
          </cell>
          <cell r="J59"/>
          <cell r="K59"/>
        </row>
        <row r="60">
          <cell r="A60" t="str">
            <v>D-RHEM_NKEV_GAS_ELC_CHP</v>
          </cell>
          <cell r="B60" t="str">
            <v>VAR_fin</v>
          </cell>
          <cell r="C60" t="str">
            <v>RHEM_NKEV_GAS_ELC_CHP</v>
          </cell>
          <cell r="D60">
            <v>2.8088144027891546E-2</v>
          </cell>
          <cell r="E60">
            <v>1.2538138383120585E-3</v>
          </cell>
          <cell r="F60">
            <v>3.7131129307578499E-3</v>
          </cell>
          <cell r="G60">
            <v>0.33466259364835393</v>
          </cell>
          <cell r="H60">
            <v>1.8603688633297537</v>
          </cell>
          <cell r="I60">
            <v>2.2183426730389297</v>
          </cell>
          <cell r="J60"/>
          <cell r="K60"/>
        </row>
        <row r="61">
          <cell r="A61" t="str">
            <v>SCOM-SHDEM</v>
          </cell>
          <cell r="B61" t="str">
            <v>VAR_fout</v>
          </cell>
          <cell r="C61" t="str">
            <v>SCOM-SHD</v>
          </cell>
          <cell r="D61">
            <v>73.238372346231245</v>
          </cell>
          <cell r="E61">
            <v>78.574093007834819</v>
          </cell>
          <cell r="F61">
            <v>63.32190654182169</v>
          </cell>
          <cell r="G61">
            <v>62.697278864250301</v>
          </cell>
          <cell r="H61">
            <v>61.44867526979553</v>
          </cell>
          <cell r="I61">
            <v>60.774958717911815</v>
          </cell>
          <cell r="J61"/>
          <cell r="K61"/>
        </row>
        <row r="62">
          <cell r="A62" t="str">
            <v>SCOM-SHDEM</v>
          </cell>
          <cell r="B62" t="str">
            <v>VAR_fin</v>
          </cell>
          <cell r="C62" t="str">
            <v>SCOM-SHCON</v>
          </cell>
          <cell r="D62"/>
          <cell r="E62">
            <v>6.9646440341420828</v>
          </cell>
          <cell r="F62">
            <v>2.2356397353763571</v>
          </cell>
          <cell r="G62">
            <v>4.0631552895302629</v>
          </cell>
          <cell r="H62">
            <v>7.5651168864264253</v>
          </cell>
          <cell r="I62">
            <v>10.781446377747871</v>
          </cell>
          <cell r="J62"/>
          <cell r="K62"/>
        </row>
        <row r="63">
          <cell r="A63" t="str">
            <v>SCOM-SHDEM</v>
          </cell>
          <cell r="B63" t="str">
            <v>VAR_fin</v>
          </cell>
          <cell r="C63" t="str">
            <v>SCOM-SHWOD</v>
          </cell>
          <cell r="D63">
            <v>6.1735491224570991</v>
          </cell>
          <cell r="E63">
            <v>6.7779154979552656</v>
          </cell>
          <cell r="F63">
            <v>6.4441791461791906</v>
          </cell>
          <cell r="G63">
            <v>6.5777740480288598</v>
          </cell>
          <cell r="H63">
            <v>5.724033026179022</v>
          </cell>
          <cell r="I63">
            <v>5.0823461869888638</v>
          </cell>
          <cell r="J63"/>
        </row>
        <row r="64">
          <cell r="A64" t="str">
            <v>SCOM-SHDEM</v>
          </cell>
          <cell r="B64" t="str">
            <v>VAR_fin</v>
          </cell>
          <cell r="C64" t="str">
            <v>SCOM-SHLTHD</v>
          </cell>
          <cell r="D64">
            <v>5.5539059439531435</v>
          </cell>
          <cell r="E64">
            <v>6.0159379160907474</v>
          </cell>
          <cell r="F64">
            <v>4.9162375419161517</v>
          </cell>
          <cell r="G64">
            <v>5.7370447801611126</v>
          </cell>
          <cell r="H64">
            <v>6.5242493794224998</v>
          </cell>
          <cell r="I64">
            <v>6.9328342732551418</v>
          </cell>
          <cell r="J64"/>
        </row>
        <row r="65">
          <cell r="A65" t="str">
            <v>SCOM-SHDEM</v>
          </cell>
          <cell r="B65" t="str">
            <v>VAR_fin</v>
          </cell>
          <cell r="C65" t="str">
            <v>SCOM-SHELCB</v>
          </cell>
          <cell r="D65">
            <v>2.3940387901280027</v>
          </cell>
          <cell r="E65">
            <v>0.590380980779866</v>
          </cell>
          <cell r="F65">
            <v>0.5218100373663499</v>
          </cell>
          <cell r="G65">
            <v>0.353997118188904</v>
          </cell>
          <cell r="H65">
            <v>0.26252693226928175</v>
          </cell>
          <cell r="I65">
            <v>0.19371961318022574</v>
          </cell>
          <cell r="J65"/>
        </row>
        <row r="66">
          <cell r="A66" t="str">
            <v>SCOM-SHDEM</v>
          </cell>
          <cell r="B66" t="str">
            <v>VAR_fin</v>
          </cell>
          <cell r="C66" t="str">
            <v>SCOM-SHBIO</v>
          </cell>
          <cell r="D66">
            <v>1.2230742215044998</v>
          </cell>
          <cell r="E66">
            <v>1.340776288303402</v>
          </cell>
          <cell r="F66"/>
          <cell r="G66"/>
          <cell r="H66"/>
          <cell r="I66"/>
          <cell r="J66"/>
        </row>
        <row r="67">
          <cell r="A67" t="str">
            <v>SCOM-SHDEM</v>
          </cell>
          <cell r="B67" t="str">
            <v>VAR_fin</v>
          </cell>
          <cell r="C67" t="str">
            <v>SCOM-SHELCH</v>
          </cell>
          <cell r="D67">
            <v>4.2612103961091536</v>
          </cell>
          <cell r="E67">
            <v>4.6176522054502254</v>
          </cell>
          <cell r="F67">
            <v>4.7181557558493896</v>
          </cell>
          <cell r="G67">
            <v>7.3616321315044955</v>
          </cell>
          <cell r="H67">
            <v>11.316758688119355</v>
          </cell>
          <cell r="I67">
            <v>15.250876502669019</v>
          </cell>
          <cell r="J67"/>
          <cell r="K67"/>
        </row>
        <row r="68">
          <cell r="A68" t="str">
            <v>SCOM-SHDEM</v>
          </cell>
          <cell r="B68" t="str">
            <v>VAR_fin</v>
          </cell>
          <cell r="C68" t="str">
            <v>SCOM-SHPLT</v>
          </cell>
          <cell r="D68">
            <v>1.8770767063479703</v>
          </cell>
          <cell r="E68">
            <v>2.1600868027380549</v>
          </cell>
          <cell r="F68">
            <v>0.44757659949395701</v>
          </cell>
          <cell r="G68">
            <v>0.75648915469038847</v>
          </cell>
          <cell r="H68">
            <v>1.0745662303424859</v>
          </cell>
          <cell r="I68">
            <v>1.3133791263197232</v>
          </cell>
          <cell r="J68"/>
          <cell r="K68"/>
        </row>
        <row r="69">
          <cell r="A69" t="str">
            <v>SCOM-SHDEM</v>
          </cell>
          <cell r="B69" t="str">
            <v>VAR_fin</v>
          </cell>
          <cell r="C69" t="str">
            <v>SCOM-SHLTHC-NGA</v>
          </cell>
          <cell r="D69">
            <v>0.68565529058894048</v>
          </cell>
          <cell r="E69">
            <v>0.74269659997927739</v>
          </cell>
          <cell r="F69"/>
          <cell r="G69"/>
          <cell r="H69"/>
          <cell r="I69"/>
          <cell r="J69"/>
        </row>
        <row r="70">
          <cell r="A70" t="str">
            <v>SCOM-SHDEM</v>
          </cell>
          <cell r="B70" t="str">
            <v>VAR_fin</v>
          </cell>
          <cell r="C70" t="str">
            <v>SCOM-SHSOL</v>
          </cell>
          <cell r="D70">
            <v>0.62700391211701434</v>
          </cell>
          <cell r="E70">
            <v>0.68733789098911491</v>
          </cell>
          <cell r="F70">
            <v>0.5290076793409948</v>
          </cell>
          <cell r="G70">
            <v>0.61604372529933804</v>
          </cell>
          <cell r="H70">
            <v>0.74256190256585963</v>
          </cell>
          <cell r="I70">
            <v>0.88985151807870899</v>
          </cell>
          <cell r="J70"/>
        </row>
        <row r="71">
          <cell r="A71" t="str">
            <v>SCOM-SHDEM</v>
          </cell>
          <cell r="B71" t="str">
            <v>VAR_fin</v>
          </cell>
          <cell r="C71" t="str">
            <v>SCOM-SHNGA</v>
          </cell>
          <cell r="D71">
            <v>24.189717359725375</v>
          </cell>
          <cell r="E71">
            <v>25.326923068156745</v>
          </cell>
          <cell r="F71">
            <v>20.706932059583416</v>
          </cell>
          <cell r="G71">
            <v>18.202984929806597</v>
          </cell>
          <cell r="H71">
            <v>12.419123526409546</v>
          </cell>
          <cell r="I71">
            <v>7.4289590568378658</v>
          </cell>
          <cell r="J71"/>
          <cell r="K71"/>
        </row>
        <row r="72">
          <cell r="A72" t="str">
            <v>SCOM-SHDEM</v>
          </cell>
          <cell r="B72" t="str">
            <v>VAR_fin</v>
          </cell>
          <cell r="C72" t="str">
            <v>SCOM-SHNGAH</v>
          </cell>
          <cell r="D72"/>
          <cell r="E72"/>
          <cell r="F72">
            <v>1.758689932439228</v>
          </cell>
          <cell r="G72">
            <v>3.4759082956331175</v>
          </cell>
          <cell r="H72">
            <v>5.9950691965727536</v>
          </cell>
          <cell r="I72">
            <v>8.6557741117682347</v>
          </cell>
          <cell r="J72"/>
          <cell r="K72"/>
        </row>
        <row r="73">
          <cell r="A73" t="str">
            <v>SCOM-SHDEM</v>
          </cell>
          <cell r="B73" t="str">
            <v>VAR_fin</v>
          </cell>
          <cell r="C73" t="str">
            <v>SCOM-SHLTHC-BIO</v>
          </cell>
          <cell r="D73">
            <v>1.4100706517053994</v>
          </cell>
          <cell r="E73">
            <v>1.5273741729685391</v>
          </cell>
          <cell r="F73"/>
          <cell r="G73"/>
          <cell r="H73"/>
          <cell r="I73"/>
          <cell r="J73"/>
        </row>
        <row r="74">
          <cell r="A74" t="str">
            <v>SCOM-SHDEM</v>
          </cell>
          <cell r="B74" t="str">
            <v>VAR_fin</v>
          </cell>
          <cell r="C74" t="str">
            <v>SCOM-SHLFO</v>
          </cell>
          <cell r="D74">
            <v>24.843069951594657</v>
          </cell>
          <cell r="E74">
            <v>21.822367550281513</v>
          </cell>
          <cell r="F74">
            <v>21.043678054276636</v>
          </cell>
          <cell r="G74">
            <v>15.552249391407235</v>
          </cell>
          <cell r="H74">
            <v>9.8246695014882821</v>
          </cell>
          <cell r="I74">
            <v>4.245771951066148</v>
          </cell>
          <cell r="J74"/>
        </row>
        <row r="75">
          <cell r="A75" t="str">
            <v>ITOT-SWHSTG-NGAHP</v>
          </cell>
          <cell r="B75" t="str">
            <v>VAR_fout</v>
          </cell>
          <cell r="C75" t="str">
            <v>ITOT-SWHANGAH</v>
          </cell>
          <cell r="D75">
            <v>6.4631933964061231E-4</v>
          </cell>
          <cell r="E75">
            <v>1.3108045634327751E-3</v>
          </cell>
          <cell r="F75">
            <v>1.2944620688629183E-3</v>
          </cell>
          <cell r="G75">
            <v>6.2280668541931457E-4</v>
          </cell>
          <cell r="H75">
            <v>1.0546049428651993E-3</v>
          </cell>
          <cell r="I75">
            <v>1.0520418343633508E-3</v>
          </cell>
          <cell r="J75"/>
        </row>
        <row r="76">
          <cell r="A76" t="str">
            <v>ITOT-SWHSTG-NGAHP</v>
          </cell>
          <cell r="B76" t="str">
            <v>VAR_fin</v>
          </cell>
          <cell r="C76" t="str">
            <v>ITOT-SWHANGAH</v>
          </cell>
          <cell r="D76">
            <v>6.4631933964061231E-4</v>
          </cell>
          <cell r="E76">
            <v>1.3108045634327751E-3</v>
          </cell>
          <cell r="F76">
            <v>1.6596833322530923E-3</v>
          </cell>
          <cell r="G76">
            <v>7.2880523779420003E-4</v>
          </cell>
          <cell r="H76">
            <v>1.2206907170121551E-3</v>
          </cell>
          <cell r="I76">
            <v>1.1524643177997034E-3</v>
          </cell>
          <cell r="J76"/>
          <cell r="K76"/>
        </row>
        <row r="77">
          <cell r="A77" t="str">
            <v>ITOT-SWHSTG-NGAHP</v>
          </cell>
          <cell r="B77" t="str">
            <v>VAR_ncap</v>
          </cell>
          <cell r="C77" t="str">
            <v>-</v>
          </cell>
          <cell r="D77">
            <v>2.06305825521284E-3</v>
          </cell>
          <cell r="E77">
            <v>6.0539019937915698E-6</v>
          </cell>
          <cell r="F77">
            <v>9.4178625721663897E-6</v>
          </cell>
          <cell r="G77">
            <v>1.1463861984255001E-5</v>
          </cell>
          <cell r="H77">
            <v>2.8937490486563903E-4</v>
          </cell>
          <cell r="I77">
            <v>3.21028797813315E-3</v>
          </cell>
          <cell r="J77"/>
          <cell r="K77"/>
        </row>
        <row r="78">
          <cell r="A78" t="str">
            <v>ITOT-SWHSTG-NGAHP</v>
          </cell>
          <cell r="B78" t="str">
            <v>VAR_cap</v>
          </cell>
          <cell r="C78" t="str">
            <v>-</v>
          </cell>
          <cell r="D78">
            <v>2.06305825521284E-3</v>
          </cell>
          <cell r="E78">
            <v>1.5080952350410119E-5</v>
          </cell>
          <cell r="F78">
            <v>1.1829952934940989E-4</v>
          </cell>
          <cell r="G78">
            <v>1.431384407874802E-4</v>
          </cell>
          <cell r="H78">
            <v>3.8423817057607287E-4</v>
          </cell>
          <cell r="I78">
            <v>3.432166693386834E-3</v>
          </cell>
          <cell r="J78"/>
          <cell r="K78"/>
        </row>
        <row r="79">
          <cell r="A79" t="str">
            <v>ITOT-STG-ELCSPEC</v>
          </cell>
          <cell r="B79" t="str">
            <v>VAR_fout</v>
          </cell>
          <cell r="C79" t="str">
            <v>ITOT-ELS</v>
          </cell>
          <cell r="D79"/>
          <cell r="E79">
            <v>2.2558406496204723E-2</v>
          </cell>
          <cell r="F79">
            <v>2.3952817482507747E-2</v>
          </cell>
          <cell r="G79">
            <v>2.4759673250745601E-2</v>
          </cell>
          <cell r="H79">
            <v>0.49001995012240523</v>
          </cell>
          <cell r="I79">
            <v>0.50507235168186071</v>
          </cell>
          <cell r="J79"/>
          <cell r="K79"/>
        </row>
        <row r="80">
          <cell r="A80" t="str">
            <v>ITOT-STG-ELCSPEC</v>
          </cell>
          <cell r="B80" t="str">
            <v>VAR_fin</v>
          </cell>
          <cell r="C80" t="str">
            <v>ITOT-ELS</v>
          </cell>
          <cell r="D80"/>
          <cell r="E80">
            <v>2.2561394982595628E-2</v>
          </cell>
          <cell r="F80">
            <v>2.3955894059067503E-2</v>
          </cell>
          <cell r="G80">
            <v>2.4762010216031805E-2</v>
          </cell>
          <cell r="H80">
            <v>0.49002416127109816</v>
          </cell>
          <cell r="I80">
            <v>0.50507439923847075</v>
          </cell>
          <cell r="J80"/>
          <cell r="K80"/>
        </row>
        <row r="81">
          <cell r="A81" t="str">
            <v>ITOT-STG-ELCSPEC</v>
          </cell>
          <cell r="B81" t="str">
            <v>VAR_ncap</v>
          </cell>
          <cell r="C81" t="str">
            <v>-</v>
          </cell>
          <cell r="D81"/>
          <cell r="E81">
            <v>8.4273596380757699E-4</v>
          </cell>
          <cell r="F81">
            <v>4.7292967797139501E-5</v>
          </cell>
          <cell r="G81">
            <v>1.3044707447730801E-5</v>
          </cell>
          <cell r="H81">
            <v>1.26728498477717E-2</v>
          </cell>
          <cell r="I81">
            <v>2.2931455822830702E-3</v>
          </cell>
          <cell r="J81"/>
          <cell r="K81"/>
        </row>
        <row r="82">
          <cell r="A82" t="str">
            <v>ITOT-STG-ELCSPEC</v>
          </cell>
          <cell r="B82" t="str">
            <v>VAR_cap</v>
          </cell>
          <cell r="C82" t="str">
            <v>-</v>
          </cell>
          <cell r="D82"/>
          <cell r="E82">
            <v>8.4273596380757699E-4</v>
          </cell>
          <cell r="F82">
            <v>8.896038569857405E-4</v>
          </cell>
          <cell r="G82">
            <v>9.0175290688405269E-4</v>
          </cell>
          <cell r="H82">
            <v>1.9258479194335147E-2</v>
          </cell>
          <cell r="I82">
            <v>1.9822954280298032E-2</v>
          </cell>
          <cell r="J82"/>
        </row>
        <row r="83">
          <cell r="A83" t="str">
            <v>D-RHES_LTH_CHPNGA</v>
          </cell>
          <cell r="B83" t="str">
            <v>VAR_fout</v>
          </cell>
          <cell r="C83" t="str">
            <v>RHSA_LTH</v>
          </cell>
          <cell r="D83">
            <v>1.1253481155575284E-3</v>
          </cell>
          <cell r="E83">
            <v>1.3972342008880419E-5</v>
          </cell>
          <cell r="F83">
            <v>6.3178600543969121E-3</v>
          </cell>
          <cell r="G83">
            <v>1.3896656983956503E-2</v>
          </cell>
          <cell r="H83">
            <v>9.9640760699602413E-4</v>
          </cell>
          <cell r="I83">
            <v>9.6250791216369888E-4</v>
          </cell>
          <cell r="J83"/>
          <cell r="K83"/>
        </row>
        <row r="84">
          <cell r="A84" t="str">
            <v>D-RHES_LTH_CHPNGA</v>
          </cell>
          <cell r="B84" t="str">
            <v>VAR_fout</v>
          </cell>
          <cell r="C84" t="str">
            <v>LTH</v>
          </cell>
          <cell r="D84"/>
          <cell r="E84"/>
          <cell r="F84">
            <v>5.6457441538327744E-7</v>
          </cell>
          <cell r="G84">
            <v>8.8984944308872932E-6</v>
          </cell>
          <cell r="H84">
            <v>1.6142178331121734E-6</v>
          </cell>
          <cell r="I84">
            <v>3.731209371907388E-7</v>
          </cell>
          <cell r="J84"/>
          <cell r="K84"/>
        </row>
        <row r="85">
          <cell r="A85" t="str">
            <v>D-RHES_LTH_CHPNGA</v>
          </cell>
          <cell r="B85" t="str">
            <v>VAR_fout</v>
          </cell>
          <cell r="C85" t="str">
            <v>RHES_LTH_CHPNGA_ON</v>
          </cell>
          <cell r="D85">
            <v>3.1637892011569406E-2</v>
          </cell>
          <cell r="E85">
            <v>4.5555532555185954E-3</v>
          </cell>
          <cell r="F85">
            <v>5.2767450380375902E-5</v>
          </cell>
          <cell r="G85"/>
          <cell r="H85">
            <v>1.1321312058553484E-3</v>
          </cell>
          <cell r="I85"/>
          <cell r="J85"/>
          <cell r="K85"/>
        </row>
        <row r="86">
          <cell r="A86" t="str">
            <v>D-RHES_LTH_CHPNGA</v>
          </cell>
          <cell r="B86" t="str">
            <v>VAR_fin</v>
          </cell>
          <cell r="C86" t="str">
            <v>RHES_LTH_CHPNGA</v>
          </cell>
          <cell r="D86">
            <v>3.2763240127126933E-2</v>
          </cell>
          <cell r="E86">
            <v>4.5702461532486178E-3</v>
          </cell>
          <cell r="F86">
            <v>6.3727478068039117E-3</v>
          </cell>
          <cell r="G86">
            <v>1.3906103689170958E-2</v>
          </cell>
          <cell r="H86">
            <v>2.131545986730524E-3</v>
          </cell>
          <cell r="I86">
            <v>9.6465785936929323E-4</v>
          </cell>
          <cell r="J86"/>
          <cell r="K86"/>
        </row>
        <row r="87">
          <cell r="A87" t="str">
            <v>D-ICOA</v>
          </cell>
          <cell r="B87" t="str">
            <v>VAR_fout</v>
          </cell>
          <cell r="C87" t="str">
            <v>ICOA</v>
          </cell>
          <cell r="D87">
            <v>3.5600202094959159</v>
          </cell>
          <cell r="E87">
            <v>3.4647208701173744</v>
          </cell>
          <cell r="F87">
            <v>3.2263863350458362</v>
          </cell>
          <cell r="G87">
            <v>6.4355195221457641E-4</v>
          </cell>
          <cell r="H87">
            <v>6.3286740870591672E-4</v>
          </cell>
          <cell r="I87">
            <v>3.4793620773534078E-4</v>
          </cell>
          <cell r="J87"/>
          <cell r="K87"/>
          <cell r="L87"/>
        </row>
        <row r="88">
          <cell r="A88" t="str">
            <v>D-ICOA</v>
          </cell>
          <cell r="B88" t="str">
            <v>VAR_fout</v>
          </cell>
          <cell r="C88" t="str">
            <v>CO2</v>
          </cell>
          <cell r="D88">
            <v>330.01387342027198</v>
          </cell>
          <cell r="E88">
            <v>321.17962465988097</v>
          </cell>
          <cell r="F88">
            <v>299.08601325874901</v>
          </cell>
          <cell r="G88">
            <v>5.9657265970291203E-2</v>
          </cell>
          <cell r="H88">
            <v>5.8666808787038498E-2</v>
          </cell>
          <cell r="I88">
            <v>3.2253686457066097E-2</v>
          </cell>
          <cell r="J88"/>
          <cell r="K88"/>
        </row>
        <row r="89">
          <cell r="A89" t="str">
            <v>D-ICOA</v>
          </cell>
          <cell r="B89" t="str">
            <v>VAR_fin</v>
          </cell>
          <cell r="C89" t="str">
            <v>COA</v>
          </cell>
          <cell r="D89">
            <v>3.5600202094959159</v>
          </cell>
          <cell r="E89">
            <v>3.4647208701173744</v>
          </cell>
          <cell r="F89">
            <v>3.2263863350458362</v>
          </cell>
          <cell r="G89">
            <v>6.4355195221457641E-4</v>
          </cell>
          <cell r="H89">
            <v>6.3286740870591672E-4</v>
          </cell>
          <cell r="I89">
            <v>3.4793620773534078E-4</v>
          </cell>
          <cell r="J89"/>
          <cell r="K89"/>
        </row>
        <row r="90">
          <cell r="A90" t="str">
            <v>RHEM-SHCONBR1</v>
          </cell>
          <cell r="B90" t="str">
            <v>VAR_fout</v>
          </cell>
          <cell r="C90" t="str">
            <v>RHEM-SHCON</v>
          </cell>
          <cell r="D90">
            <v>7.2132950780995084E-3</v>
          </cell>
          <cell r="E90">
            <v>0.78044428821715606</v>
          </cell>
          <cell r="F90">
            <v>0.53796862204733864</v>
          </cell>
          <cell r="G90">
            <v>1.6625907606592858</v>
          </cell>
          <cell r="H90">
            <v>3.2373109360475136</v>
          </cell>
          <cell r="I90">
            <v>4.2470651410253426</v>
          </cell>
          <cell r="J90"/>
          <cell r="K90"/>
        </row>
        <row r="91">
          <cell r="A91" t="str">
            <v>RHEM-SHCONBR1</v>
          </cell>
          <cell r="B91" t="str">
            <v>VAR_fin</v>
          </cell>
          <cell r="C91" t="str">
            <v>CON</v>
          </cell>
          <cell r="D91">
            <v>7.2132950780995084E-3</v>
          </cell>
          <cell r="E91">
            <v>0.78044428821715606</v>
          </cell>
          <cell r="F91">
            <v>0.53796862204733864</v>
          </cell>
          <cell r="G91">
            <v>1.6625907606592858</v>
          </cell>
          <cell r="H91">
            <v>3.2373109360475136</v>
          </cell>
          <cell r="I91">
            <v>4.2470651410253426</v>
          </cell>
          <cell r="J91"/>
          <cell r="K91"/>
        </row>
        <row r="92">
          <cell r="A92" t="str">
            <v>RHEM-SHCONBR1</v>
          </cell>
          <cell r="B92" t="str">
            <v>VAR_ncap</v>
          </cell>
          <cell r="C92" t="str">
            <v>-</v>
          </cell>
          <cell r="D92">
            <v>2.7552180950865101E-2</v>
          </cell>
          <cell r="E92">
            <v>2.7552179248077902E-2</v>
          </cell>
          <cell r="F92">
            <v>1.38580826706964E-7</v>
          </cell>
          <cell r="G92">
            <v>6.2302023030371897E-2</v>
          </cell>
          <cell r="H92">
            <v>2.9687529138524401E-2</v>
          </cell>
          <cell r="I92">
            <v>9.6660292826233396E-2</v>
          </cell>
          <cell r="J92"/>
          <cell r="K92"/>
        </row>
        <row r="93">
          <cell r="A93" t="str">
            <v>RHEM-SHCONBR1</v>
          </cell>
          <cell r="B93" t="str">
            <v>VAR_cap</v>
          </cell>
          <cell r="C93" t="str">
            <v>-</v>
          </cell>
          <cell r="D93">
            <v>2.7552180950865101E-2</v>
          </cell>
          <cell r="E93">
            <v>5.5104360198942999E-2</v>
          </cell>
          <cell r="F93">
            <v>5.5103148154240944E-2</v>
          </cell>
          <cell r="G93">
            <v>0.11740636411865293</v>
          </cell>
          <cell r="H93">
            <v>0.22859774436547983</v>
          </cell>
          <cell r="I93">
            <v>0.29989923001477259</v>
          </cell>
          <cell r="J93"/>
        </row>
        <row r="94">
          <cell r="A94" t="str">
            <v>RHEM-SHELCBR</v>
          </cell>
          <cell r="B94" t="str">
            <v>VAR_fout</v>
          </cell>
          <cell r="C94" t="str">
            <v>RHEM-SHAELCB</v>
          </cell>
          <cell r="D94">
            <v>4.6280564687731172</v>
          </cell>
          <cell r="E94">
            <v>2.8095482613150904</v>
          </cell>
          <cell r="F94">
            <v>3.7043504546309648E-2</v>
          </cell>
          <cell r="G94">
            <v>1.2782687207823364E-2</v>
          </cell>
          <cell r="H94">
            <v>4.2183781765219178E-3</v>
          </cell>
          <cell r="I94">
            <v>3.6113232241587038E-3</v>
          </cell>
          <cell r="J94"/>
        </row>
        <row r="95">
          <cell r="A95" t="str">
            <v>RHEM-SHELCBR</v>
          </cell>
          <cell r="B95" t="str">
            <v>VAR_fin</v>
          </cell>
          <cell r="C95" t="str">
            <v>RHEM_ELC</v>
          </cell>
          <cell r="D95">
            <v>4.871638388182232</v>
          </cell>
          <cell r="E95">
            <v>2.9574192224369353</v>
          </cell>
          <cell r="F95">
            <v>4.0282709636122495E-2</v>
          </cell>
          <cell r="G95">
            <v>1.3776433028466158E-2</v>
          </cell>
          <cell r="H95">
            <v>4.4752652631320292E-3</v>
          </cell>
          <cell r="I95">
            <v>3.8098625018901672E-3</v>
          </cell>
          <cell r="J95"/>
          <cell r="K95"/>
        </row>
        <row r="96">
          <cell r="A96" t="str">
            <v>RHEM-SHELCBR</v>
          </cell>
          <cell r="B96" t="str">
            <v>VAR_ncap</v>
          </cell>
          <cell r="C96" t="str">
            <v>-</v>
          </cell>
          <cell r="D96">
            <v>5.3546360126958803E-7</v>
          </cell>
          <cell r="E96">
            <v>2.3502845671811E-7</v>
          </cell>
          <cell r="F96">
            <v>2.2350005401527401E-7</v>
          </cell>
          <cell r="G96">
            <v>3.9941950686809402E-7</v>
          </cell>
          <cell r="H96">
            <v>4.1494248471099401E-4</v>
          </cell>
          <cell r="I96">
            <v>1.29446276615047E-5</v>
          </cell>
          <cell r="J96"/>
          <cell r="K96"/>
        </row>
        <row r="97">
          <cell r="A97" t="str">
            <v>RHEM-SHELCBR</v>
          </cell>
          <cell r="B97" t="str">
            <v>VAR_cap</v>
          </cell>
          <cell r="C97" t="str">
            <v>-</v>
          </cell>
          <cell r="D97">
            <v>0.32680167941194027</v>
          </cell>
          <cell r="E97">
            <v>0.32677313033531952</v>
          </cell>
          <cell r="F97">
            <v>4.6018483108200003E-3</v>
          </cell>
          <cell r="G97">
            <v>1.6674880052558461E-3</v>
          </cell>
          <cell r="H97">
            <v>4.6867426770196821E-4</v>
          </cell>
          <cell r="I97">
            <v>3.3641396866963998E-4</v>
          </cell>
          <cell r="J97"/>
          <cell r="K97"/>
        </row>
        <row r="98">
          <cell r="A98" t="str">
            <v>RHNM-SHLTHCHPNGA</v>
          </cell>
          <cell r="B98" t="str">
            <v>VAR_fout</v>
          </cell>
          <cell r="C98" t="str">
            <v>RHNM-SHLTHC-NGA</v>
          </cell>
          <cell r="D98"/>
          <cell r="E98">
            <v>2.5641777859773634E-3</v>
          </cell>
          <cell r="F98"/>
          <cell r="G98"/>
          <cell r="H98"/>
          <cell r="I98"/>
          <cell r="J98"/>
        </row>
        <row r="99">
          <cell r="A99" t="str">
            <v>RHNM-SHLTHCHPNGA</v>
          </cell>
          <cell r="B99" t="str">
            <v>VAR_fin</v>
          </cell>
          <cell r="C99" t="str">
            <v>RHNMLTHCHPC</v>
          </cell>
          <cell r="D99"/>
          <cell r="E99">
            <v>2.5641777859773634E-3</v>
          </cell>
          <cell r="F99"/>
          <cell r="G99"/>
          <cell r="H99"/>
          <cell r="I99"/>
          <cell r="J99"/>
        </row>
        <row r="100">
          <cell r="A100" t="str">
            <v>RHNM-SHLTHCHPNGA</v>
          </cell>
          <cell r="B100" t="str">
            <v>VAR_fin</v>
          </cell>
          <cell r="C100" t="str">
            <v>RHNM_LTH_CHPNGA_ON</v>
          </cell>
          <cell r="D100"/>
          <cell r="E100">
            <v>2.5900785716943069E-3</v>
          </cell>
          <cell r="F100"/>
          <cell r="G100"/>
          <cell r="H100"/>
          <cell r="I100"/>
          <cell r="J100"/>
          <cell r="K100"/>
        </row>
        <row r="101">
          <cell r="A101" t="str">
            <v>RHNM-SHLTHCHPNGA</v>
          </cell>
          <cell r="B101" t="str">
            <v>VAR_ncap</v>
          </cell>
          <cell r="C101" t="str">
            <v>-</v>
          </cell>
          <cell r="D101"/>
          <cell r="E101">
            <v>3.12393249363319E-4</v>
          </cell>
          <cell r="F101">
            <v>2.8055223470272399E-4</v>
          </cell>
          <cell r="G101">
            <v>2.1242471744351701E-2</v>
          </cell>
          <cell r="H101">
            <v>2.0430877347358201E-2</v>
          </cell>
          <cell r="I101">
            <v>1.3999750520912201E-2</v>
          </cell>
          <cell r="J101"/>
          <cell r="K101"/>
        </row>
        <row r="102">
          <cell r="A102" t="str">
            <v>RHNM-SHLTHCHPNGA</v>
          </cell>
          <cell r="B102" t="str">
            <v>VAR_cap</v>
          </cell>
          <cell r="C102" t="str">
            <v>-</v>
          </cell>
          <cell r="D102"/>
          <cell r="E102">
            <v>3.12393249363319E-4</v>
          </cell>
          <cell r="F102">
            <v>3.7966939006296198E-4</v>
          </cell>
          <cell r="G102">
            <v>2.1507400092275451E-2</v>
          </cell>
          <cell r="H102">
            <v>4.5137689266840697E-2</v>
          </cell>
          <cell r="I102">
            <v>2.6642527603701997E-2</v>
          </cell>
          <cell r="J102"/>
          <cell r="K102"/>
        </row>
        <row r="103">
          <cell r="A103" t="str">
            <v>RHEM-SHCONBR2</v>
          </cell>
          <cell r="B103" t="str">
            <v>VAR_fout</v>
          </cell>
          <cell r="C103" t="str">
            <v>RHEM-SHCON</v>
          </cell>
          <cell r="D103">
            <v>7.6594534611453009E-3</v>
          </cell>
          <cell r="E103">
            <v>1.2155034604216788</v>
          </cell>
          <cell r="F103">
            <v>0.87683564688983107</v>
          </cell>
          <cell r="G103">
            <v>1.3648604479192776</v>
          </cell>
          <cell r="H103">
            <v>4.024669752464983</v>
          </cell>
          <cell r="I103">
            <v>6.6148681687721682</v>
          </cell>
          <cell r="J103"/>
        </row>
        <row r="104">
          <cell r="A104" t="str">
            <v>RHEM-SHCONBR2</v>
          </cell>
          <cell r="B104" t="str">
            <v>VAR_fin</v>
          </cell>
          <cell r="C104" t="str">
            <v>CON</v>
          </cell>
          <cell r="D104">
            <v>7.6594534611453009E-3</v>
          </cell>
          <cell r="E104">
            <v>1.2155034604216788</v>
          </cell>
          <cell r="F104">
            <v>0.87683564688983107</v>
          </cell>
          <cell r="G104">
            <v>1.3648604479192776</v>
          </cell>
          <cell r="H104">
            <v>4.024669752464983</v>
          </cell>
          <cell r="I104">
            <v>6.6148681687721682</v>
          </cell>
          <cell r="J104"/>
        </row>
        <row r="105">
          <cell r="A105" t="str">
            <v>RHEM-SHCONBR2</v>
          </cell>
          <cell r="B105" t="str">
            <v>VAR_ncap</v>
          </cell>
          <cell r="C105" t="str">
            <v>-</v>
          </cell>
          <cell r="D105">
            <v>4.2912718448826499E-2</v>
          </cell>
          <cell r="E105">
            <v>4.29127148462062E-2</v>
          </cell>
          <cell r="F105">
            <v>1.15534014990666E-7</v>
          </cell>
          <cell r="G105">
            <v>1.05574087659437E-2</v>
          </cell>
          <cell r="H105">
            <v>0.116237137779734</v>
          </cell>
          <cell r="I105">
            <v>0.22239852769351101</v>
          </cell>
          <cell r="J105"/>
          <cell r="K105"/>
        </row>
        <row r="106">
          <cell r="A106" t="str">
            <v>RHEM-SHCONBR2</v>
          </cell>
          <cell r="B106" t="str">
            <v>VAR_cap</v>
          </cell>
          <cell r="C106" t="str">
            <v>-</v>
          </cell>
          <cell r="D106">
            <v>4.2912718448826499E-2</v>
          </cell>
          <cell r="E106">
            <v>8.5825433295032699E-2</v>
          </cell>
          <cell r="F106">
            <v>8.5824170452900195E-2</v>
          </cell>
          <cell r="G106">
            <v>9.6382796995377162E-2</v>
          </cell>
          <cell r="H106">
            <v>0.28419609404256635</v>
          </cell>
          <cell r="I106">
            <v>0.46709808262123409</v>
          </cell>
          <cell r="J106"/>
          <cell r="K106"/>
        </row>
        <row r="107">
          <cell r="A107" t="str">
            <v>D-RHSA_LTH</v>
          </cell>
          <cell r="B107" t="str">
            <v>VAR_fout</v>
          </cell>
          <cell r="C107" t="str">
            <v>RHSA_LTH</v>
          </cell>
          <cell r="D107">
            <v>3.0877142090661759E-3</v>
          </cell>
          <cell r="E107">
            <v>2.9446789459374449E-4</v>
          </cell>
          <cell r="F107">
            <v>1.6266920699346569E-3</v>
          </cell>
          <cell r="G107">
            <v>0.4401916201703972</v>
          </cell>
          <cell r="H107">
            <v>1.0621428219970623</v>
          </cell>
          <cell r="I107"/>
          <cell r="J107"/>
          <cell r="K107"/>
        </row>
        <row r="108">
          <cell r="A108" t="str">
            <v>D-RHSA_LTH</v>
          </cell>
          <cell r="B108" t="str">
            <v>VAR_fin</v>
          </cell>
          <cell r="C108" t="str">
            <v>RHEM_LTH_CHPWOD_ON</v>
          </cell>
          <cell r="D108">
            <v>6.560795819075425E-5</v>
          </cell>
          <cell r="E108">
            <v>5.831584005913689E-5</v>
          </cell>
          <cell r="F108">
            <v>9.2751821661146582E-6</v>
          </cell>
          <cell r="G108"/>
          <cell r="H108">
            <v>6.4716855402608862E-4</v>
          </cell>
          <cell r="I108"/>
          <cell r="J108"/>
          <cell r="K108"/>
        </row>
        <row r="109">
          <cell r="A109" t="str">
            <v>D-RHSA_LTH</v>
          </cell>
          <cell r="B109" t="str">
            <v>VAR_fin</v>
          </cell>
          <cell r="C109" t="str">
            <v>RHNM_LTH_CHPWOD_ON</v>
          </cell>
          <cell r="D109">
            <v>6.0447754782841668E-5</v>
          </cell>
          <cell r="E109">
            <v>4.6524161079928283E-5</v>
          </cell>
          <cell r="F109">
            <v>1.3643868625633969E-5</v>
          </cell>
          <cell r="G109"/>
          <cell r="H109">
            <v>9.1605399379937385E-4</v>
          </cell>
          <cell r="I109"/>
          <cell r="J109"/>
        </row>
        <row r="110">
          <cell r="A110" t="str">
            <v>D-RHSA_LTH</v>
          </cell>
          <cell r="B110" t="str">
            <v>VAR_fin</v>
          </cell>
          <cell r="C110" t="str">
            <v>RHES_LTH_CHPWOD_ON</v>
          </cell>
          <cell r="D110">
            <v>4.1494959016106483E-5</v>
          </cell>
          <cell r="E110">
            <v>5.4526487862995627E-5</v>
          </cell>
          <cell r="F110">
            <v>1.2528105593100271E-5</v>
          </cell>
          <cell r="G110"/>
          <cell r="H110">
            <v>3.5542680048099117E-4</v>
          </cell>
          <cell r="I110"/>
          <cell r="J110"/>
        </row>
        <row r="111">
          <cell r="A111" t="str">
            <v>D-RHSA_LTH</v>
          </cell>
          <cell r="B111" t="str">
            <v>VAR_fin</v>
          </cell>
          <cell r="C111" t="str">
            <v>RHNS_LTH_CHPWOD_ON</v>
          </cell>
          <cell r="D111">
            <v>4.0180159126568135E-5</v>
          </cell>
          <cell r="E111">
            <v>3.2565357849670629E-5</v>
          </cell>
          <cell r="F111">
            <v>1.2374289238765165E-5</v>
          </cell>
          <cell r="G111"/>
          <cell r="H111">
            <v>2.8814474168165798E-4</v>
          </cell>
          <cell r="I111"/>
          <cell r="J111"/>
          <cell r="K111"/>
        </row>
        <row r="112">
          <cell r="A112" t="str">
            <v>D-RHSA_LTH</v>
          </cell>
          <cell r="B112" t="str">
            <v>VAR_fin</v>
          </cell>
          <cell r="C112" t="str">
            <v>RHEM_LTH_CHPNGA_ON</v>
          </cell>
          <cell r="D112">
            <v>2.041525276636686E-3</v>
          </cell>
          <cell r="E112">
            <v>1.1826602129141867E-5</v>
          </cell>
          <cell r="F112"/>
          <cell r="G112">
            <v>0.3987780447628223</v>
          </cell>
          <cell r="H112">
            <v>0.80810991456605208</v>
          </cell>
          <cell r="I112"/>
          <cell r="J112"/>
        </row>
        <row r="113">
          <cell r="A113" t="str">
            <v>D-RHSA_LTH</v>
          </cell>
          <cell r="B113" t="str">
            <v>VAR_fin</v>
          </cell>
          <cell r="C113" t="str">
            <v>RHNM_LTH_CHPNGA_ON</v>
          </cell>
          <cell r="D113">
            <v>7.0631594742521706E-5</v>
          </cell>
          <cell r="E113">
            <v>2.3598064714934708E-5</v>
          </cell>
          <cell r="F113">
            <v>4.0363231403154319E-4</v>
          </cell>
          <cell r="G113">
            <v>4.1413575407574885E-2</v>
          </cell>
          <cell r="H113">
            <v>0.24984742486520825</v>
          </cell>
          <cell r="I113"/>
          <cell r="J113"/>
        </row>
        <row r="114">
          <cell r="A114" t="str">
            <v>D-RHSA_LTH</v>
          </cell>
          <cell r="B114" t="str">
            <v>VAR_fin</v>
          </cell>
          <cell r="C114" t="str">
            <v>RHES_LTH_CHPNGA_ON</v>
          </cell>
          <cell r="D114">
            <v>7.2251214416942447E-4</v>
          </cell>
          <cell r="E114">
            <v>3.2994270069482236E-5</v>
          </cell>
          <cell r="F114">
            <v>5.2767450380375902E-5</v>
          </cell>
          <cell r="G114"/>
          <cell r="H114">
            <v>1.1321312058553484E-3</v>
          </cell>
          <cell r="I114"/>
          <cell r="J114"/>
        </row>
        <row r="115">
          <cell r="A115" t="str">
            <v>D-RHSA_LTH</v>
          </cell>
          <cell r="B115" t="str">
            <v>VAR_fin</v>
          </cell>
          <cell r="C115" t="str">
            <v>RHNS_LTH_CHPNGA_ON</v>
          </cell>
          <cell r="D115">
            <v>4.5314362401275005E-5</v>
          </cell>
          <cell r="E115">
            <v>3.4117110828454336E-5</v>
          </cell>
          <cell r="F115">
            <v>1.1224708598991235E-3</v>
          </cell>
          <cell r="G115"/>
          <cell r="H115">
            <v>8.4655726995837971E-4</v>
          </cell>
          <cell r="I115"/>
          <cell r="J115"/>
        </row>
        <row r="116">
          <cell r="A116" t="str">
            <v>RHEM-SHLTHCHPWOD</v>
          </cell>
          <cell r="B116" t="str">
            <v>VAR_ncap</v>
          </cell>
          <cell r="C116" t="str">
            <v>-</v>
          </cell>
          <cell r="D116"/>
          <cell r="E116"/>
          <cell r="F116"/>
          <cell r="G116">
            <v>1.2208372668485399E-4</v>
          </cell>
          <cell r="H116">
            <v>8.3555239410609497E-5</v>
          </cell>
          <cell r="I116">
            <v>4.8213672154176299E-5</v>
          </cell>
          <cell r="J116"/>
          <cell r="K116"/>
        </row>
        <row r="117">
          <cell r="A117" t="str">
            <v>RHEM-SHLTHCHPWOD</v>
          </cell>
          <cell r="B117" t="str">
            <v>VAR_cap</v>
          </cell>
          <cell r="C117" t="str">
            <v>-</v>
          </cell>
          <cell r="D117"/>
          <cell r="E117"/>
          <cell r="F117"/>
          <cell r="G117">
            <v>1.2208372668485399E-4</v>
          </cell>
          <cell r="H117">
            <v>1.5392225948351E-4</v>
          </cell>
          <cell r="I117">
            <v>8.0172207879687196E-5</v>
          </cell>
          <cell r="J117"/>
        </row>
        <row r="118">
          <cell r="A118" t="str">
            <v>D-RHEM_LTH_CHPWOD</v>
          </cell>
          <cell r="B118" t="str">
            <v>VAR_fout</v>
          </cell>
          <cell r="C118" t="str">
            <v>RHEM_LTH_CHPWOD_ON</v>
          </cell>
          <cell r="D118">
            <v>6.560795819075425E-5</v>
          </cell>
          <cell r="E118">
            <v>5.831584005913689E-5</v>
          </cell>
          <cell r="F118">
            <v>9.2751821661146582E-6</v>
          </cell>
          <cell r="G118"/>
          <cell r="H118">
            <v>6.4716855402608862E-4</v>
          </cell>
          <cell r="I118"/>
          <cell r="J118"/>
          <cell r="K118"/>
        </row>
        <row r="119">
          <cell r="A119" t="str">
            <v>D-RHEM_LTH_CHPWOD</v>
          </cell>
          <cell r="B119" t="str">
            <v>VAR_fout</v>
          </cell>
          <cell r="C119" t="str">
            <v>RHSA_LTH</v>
          </cell>
          <cell r="D119">
            <v>5.0904509215399589E-5</v>
          </cell>
          <cell r="E119">
            <v>4.2465392313485701E-5</v>
          </cell>
          <cell r="F119">
            <v>3.882592853566861E-5</v>
          </cell>
          <cell r="G119">
            <v>1.8979161598398902E-3</v>
          </cell>
          <cell r="H119">
            <v>6.7379443859383261E-4</v>
          </cell>
          <cell r="I119">
            <v>6.6233515044571015E-4</v>
          </cell>
          <cell r="J119"/>
          <cell r="K119"/>
        </row>
        <row r="120">
          <cell r="A120" t="str">
            <v>D-RHEM_LTH_CHPWOD</v>
          </cell>
          <cell r="B120" t="str">
            <v>VAR_fout</v>
          </cell>
          <cell r="C120" t="str">
            <v>LTH</v>
          </cell>
          <cell r="D120"/>
          <cell r="E120">
            <v>6.3935814974822633E-7</v>
          </cell>
          <cell r="F120"/>
          <cell r="G120"/>
          <cell r="H120">
            <v>3.5835426764205579E-7</v>
          </cell>
          <cell r="I120">
            <v>2.5499213653860491E-7</v>
          </cell>
          <cell r="J120"/>
          <cell r="K120"/>
        </row>
        <row r="121">
          <cell r="A121" t="str">
            <v>D-RHEM_LTH_CHPWOD</v>
          </cell>
          <cell r="B121" t="str">
            <v>VAR_fin</v>
          </cell>
          <cell r="C121" t="str">
            <v>RHEM_LTH_CHPWOD</v>
          </cell>
          <cell r="D121">
            <v>1.1651246740615382E-4</v>
          </cell>
          <cell r="E121">
            <v>1.0274744734144101E-4</v>
          </cell>
          <cell r="F121">
            <v>4.9360657100454678E-5</v>
          </cell>
          <cell r="G121">
            <v>1.8992637856097185E-3</v>
          </cell>
          <cell r="H121">
            <v>1.3228709686972657E-3</v>
          </cell>
          <cell r="I121">
            <v>6.6380488423108857E-4</v>
          </cell>
          <cell r="J121"/>
          <cell r="K121"/>
        </row>
        <row r="122">
          <cell r="A122" t="str">
            <v>RHES-SHLTHDH</v>
          </cell>
          <cell r="B122" t="str">
            <v>VAR_fout</v>
          </cell>
          <cell r="C122" t="str">
            <v>RHES-SHLTHD</v>
          </cell>
          <cell r="D122">
            <v>3.150413113090591</v>
          </cell>
          <cell r="E122">
            <v>3.5038209644766085</v>
          </cell>
          <cell r="F122">
            <v>1.4206362989104877</v>
          </cell>
          <cell r="G122">
            <v>1.5967456375449769</v>
          </cell>
          <cell r="H122">
            <v>1.6946942935822156</v>
          </cell>
          <cell r="I122">
            <v>1.7386140108572603</v>
          </cell>
          <cell r="J122"/>
          <cell r="K122"/>
        </row>
        <row r="123">
          <cell r="A123" t="str">
            <v>RHES-SHLTHDH</v>
          </cell>
          <cell r="B123" t="str">
            <v>VAR_fin</v>
          </cell>
          <cell r="C123" t="str">
            <v>RHESLTHDHC</v>
          </cell>
          <cell r="D123">
            <v>3.150413113090591</v>
          </cell>
          <cell r="E123">
            <v>3.5038209644766085</v>
          </cell>
          <cell r="F123">
            <v>1.4206362989104877</v>
          </cell>
          <cell r="G123">
            <v>1.5967456375449769</v>
          </cell>
          <cell r="H123">
            <v>1.6946942935822156</v>
          </cell>
          <cell r="I123">
            <v>1.7386140108572603</v>
          </cell>
          <cell r="J123"/>
          <cell r="K123"/>
        </row>
        <row r="124">
          <cell r="A124" t="str">
            <v>RHES-SHLTHDH</v>
          </cell>
          <cell r="B124" t="str">
            <v>VAR_fin</v>
          </cell>
          <cell r="C124" t="str">
            <v>RHES_LTH_DH</v>
          </cell>
          <cell r="D124">
            <v>3.1822354677682738</v>
          </cell>
          <cell r="E124">
            <v>3.5392130954309158</v>
          </cell>
          <cell r="F124">
            <v>1.5917256132109145</v>
          </cell>
          <cell r="G124">
            <v>1.7776105650866028</v>
          </cell>
          <cell r="H124">
            <v>1.8710004747898739</v>
          </cell>
          <cell r="I124">
            <v>1.9056950966739221</v>
          </cell>
          <cell r="J124"/>
          <cell r="K124"/>
        </row>
        <row r="125">
          <cell r="A125" t="str">
            <v>RHES-SHLTHDH</v>
          </cell>
          <cell r="B125" t="str">
            <v>VAR_ncap</v>
          </cell>
          <cell r="C125" t="str">
            <v>-</v>
          </cell>
          <cell r="D125"/>
          <cell r="E125">
            <v>3.0442307708352701E-2</v>
          </cell>
          <cell r="F125">
            <v>2.4222519439861201E-2</v>
          </cell>
          <cell r="G125">
            <v>2.6481121804874701E-2</v>
          </cell>
          <cell r="H125">
            <v>2.38823757681665E-2</v>
          </cell>
          <cell r="I125">
            <v>6.1933310445749103E-2</v>
          </cell>
          <cell r="J125"/>
          <cell r="K125"/>
        </row>
        <row r="126">
          <cell r="A126" t="str">
            <v>RHES-SHLTHDH</v>
          </cell>
          <cell r="B126" t="str">
            <v>VAR_cap</v>
          </cell>
          <cell r="C126" t="str">
            <v>-</v>
          </cell>
          <cell r="D126">
            <v>0.31204626794151202</v>
          </cell>
          <cell r="E126">
            <v>0.30906537239293463</v>
          </cell>
          <cell r="F126">
            <v>0.16403438009365692</v>
          </cell>
          <cell r="G126">
            <v>0.16522310009442159</v>
          </cell>
          <cell r="H126">
            <v>0.14347338005230403</v>
          </cell>
          <cell r="I126">
            <v>0.17492306559768711</v>
          </cell>
          <cell r="J126"/>
          <cell r="K126"/>
        </row>
        <row r="127">
          <cell r="A127" t="str">
            <v>RHEM-SHCONBR3</v>
          </cell>
          <cell r="B127" t="str">
            <v>VAR_fout</v>
          </cell>
          <cell r="C127" t="str">
            <v>RHEM-SHCON</v>
          </cell>
          <cell r="D127">
            <v>7.4291728802616313E-3</v>
          </cell>
          <cell r="E127">
            <v>0.9767205562001805</v>
          </cell>
          <cell r="F127">
            <v>0.69010781125470499</v>
          </cell>
          <cell r="G127">
            <v>0.97657504503923542</v>
          </cell>
          <cell r="H127">
            <v>0.97665194442402359</v>
          </cell>
          <cell r="I127">
            <v>1.7069824817355914</v>
          </cell>
          <cell r="J127"/>
        </row>
        <row r="128">
          <cell r="A128" t="str">
            <v>RHEM-SHCONBR3</v>
          </cell>
          <cell r="B128" t="str">
            <v>VAR_fin</v>
          </cell>
          <cell r="C128" t="str">
            <v>CON</v>
          </cell>
          <cell r="D128">
            <v>7.4291728802616313E-3</v>
          </cell>
          <cell r="E128">
            <v>0.9767205562001805</v>
          </cell>
          <cell r="F128">
            <v>0.69010781125470499</v>
          </cell>
          <cell r="G128">
            <v>0.97657504503923542</v>
          </cell>
          <cell r="H128">
            <v>0.97665194442402359</v>
          </cell>
          <cell r="I128">
            <v>1.7069824817355914</v>
          </cell>
          <cell r="J128"/>
          <cell r="K128"/>
        </row>
        <row r="129">
          <cell r="A129" t="str">
            <v>RHEM-SHCONBR3</v>
          </cell>
          <cell r="B129" t="str">
            <v>VAR_ncap</v>
          </cell>
          <cell r="C129" t="str">
            <v>-</v>
          </cell>
          <cell r="D129">
            <v>3.4482062165005198E-2</v>
          </cell>
          <cell r="E129">
            <v>3.4482062013272599E-2</v>
          </cell>
          <cell r="F129">
            <v>3.5281410263694898E-8</v>
          </cell>
          <cell r="G129">
            <v>6.9900999211589698E-8</v>
          </cell>
          <cell r="H129">
            <v>1.5782577185236699E-7</v>
          </cell>
          <cell r="I129">
            <v>8.3305832542034899E-2</v>
          </cell>
          <cell r="J129"/>
          <cell r="K129"/>
          <cell r="L129"/>
          <cell r="M129"/>
        </row>
        <row r="130">
          <cell r="A130" t="str">
            <v>RHEM-SHCONBR3</v>
          </cell>
          <cell r="B130" t="str">
            <v>VAR_cap</v>
          </cell>
          <cell r="C130" t="str">
            <v>-</v>
          </cell>
          <cell r="D130">
            <v>3.4482062165005198E-2</v>
          </cell>
          <cell r="E130">
            <v>6.8964124178277797E-2</v>
          </cell>
          <cell r="F130">
            <v>6.8962795152077677E-2</v>
          </cell>
          <cell r="G130">
            <v>6.896407464377885E-2</v>
          </cell>
          <cell r="H130">
            <v>6.8964294791239597E-2</v>
          </cell>
          <cell r="I130">
            <v>0.1205331528964497</v>
          </cell>
          <cell r="J130"/>
          <cell r="K130"/>
        </row>
        <row r="131">
          <cell r="A131" t="str">
            <v>D-RHSA_ELC</v>
          </cell>
          <cell r="B131" t="str">
            <v>VAR_fout</v>
          </cell>
          <cell r="C131" t="str">
            <v>RHSA_ELC</v>
          </cell>
          <cell r="D131">
            <v>56.71616590230829</v>
          </cell>
          <cell r="E131">
            <v>55.023955178385599</v>
          </cell>
          <cell r="F131">
            <v>58.442691178600619</v>
          </cell>
          <cell r="G131">
            <v>60.638743572565048</v>
          </cell>
          <cell r="H131">
            <v>70.328471908918914</v>
          </cell>
          <cell r="I131">
            <v>70.856790773705285</v>
          </cell>
          <cell r="J131"/>
        </row>
        <row r="132">
          <cell r="A132" t="str">
            <v>D-RHSA_ELC</v>
          </cell>
          <cell r="B132" t="str">
            <v>VAR_fin</v>
          </cell>
          <cell r="C132" t="str">
            <v>RHNS_ELC</v>
          </cell>
          <cell r="D132">
            <v>14.369490563089242</v>
          </cell>
          <cell r="E132">
            <v>14.764264094392516</v>
          </cell>
          <cell r="F132">
            <v>15.133642133573259</v>
          </cell>
          <cell r="G132">
            <v>15.584984720981561</v>
          </cell>
          <cell r="H132">
            <v>18.02741487941919</v>
          </cell>
          <cell r="I132">
            <v>18.405600000527357</v>
          </cell>
          <cell r="J132"/>
          <cell r="K132"/>
        </row>
        <row r="133">
          <cell r="A133" t="str">
            <v>D-RHSA_ELC</v>
          </cell>
          <cell r="B133" t="str">
            <v>VAR_fin</v>
          </cell>
          <cell r="C133" t="str">
            <v>RHES_ELC</v>
          </cell>
          <cell r="D133">
            <v>16.477299757130748</v>
          </cell>
          <cell r="E133">
            <v>12.749312081354933</v>
          </cell>
          <cell r="F133">
            <v>13.381381273980272</v>
          </cell>
          <cell r="G133">
            <v>14.0195667861635</v>
          </cell>
          <cell r="H133">
            <v>16.005135051649617</v>
          </cell>
          <cell r="I133">
            <v>16.191619650932822</v>
          </cell>
          <cell r="J133"/>
        </row>
        <row r="134">
          <cell r="A134" t="str">
            <v>D-RHSA_ELC</v>
          </cell>
          <cell r="B134" t="str">
            <v>VAR_fin</v>
          </cell>
          <cell r="C134" t="str">
            <v>RHNM_ELC</v>
          </cell>
          <cell r="D134">
            <v>10.068773911043722</v>
          </cell>
          <cell r="E134">
            <v>14.74359385909238</v>
          </cell>
          <cell r="F134">
            <v>15.578245348399337</v>
          </cell>
          <cell r="G134">
            <v>16.186801705854307</v>
          </cell>
          <cell r="H134">
            <v>19.043057586641957</v>
          </cell>
          <cell r="I134">
            <v>19.160956200916374</v>
          </cell>
          <cell r="J134"/>
          <cell r="K134"/>
        </row>
        <row r="135">
          <cell r="A135" t="str">
            <v>D-RHSA_ELC</v>
          </cell>
          <cell r="B135" t="str">
            <v>VAR_fin</v>
          </cell>
          <cell r="C135" t="str">
            <v>RHEM_ELC</v>
          </cell>
          <cell r="D135">
            <v>15.800691601490664</v>
          </cell>
          <cell r="E135">
            <v>12.76681815091535</v>
          </cell>
          <cell r="F135">
            <v>14.349462695289866</v>
          </cell>
          <cell r="G135">
            <v>14.847416491521074</v>
          </cell>
          <cell r="H135">
            <v>17.252902355441815</v>
          </cell>
          <cell r="I135">
            <v>17.09865350134935</v>
          </cell>
          <cell r="J135"/>
        </row>
        <row r="136">
          <cell r="A136" t="str">
            <v>SCOM-SHLTHDH</v>
          </cell>
          <cell r="B136" t="str">
            <v>VAR_fout</v>
          </cell>
          <cell r="C136" t="str">
            <v>SCOM-SHLTHD</v>
          </cell>
          <cell r="D136">
            <v>5.5539059439531435</v>
          </cell>
          <cell r="E136">
            <v>6.0159379160907474</v>
          </cell>
          <cell r="F136">
            <v>4.9162375419161517</v>
          </cell>
          <cell r="G136">
            <v>5.7370447801611126</v>
          </cell>
          <cell r="H136">
            <v>6.5242493794224998</v>
          </cell>
          <cell r="I136">
            <v>6.9328342732551418</v>
          </cell>
          <cell r="J136"/>
          <cell r="K136"/>
        </row>
        <row r="137">
          <cell r="A137" t="str">
            <v>SCOM-SHLTHDH</v>
          </cell>
          <cell r="B137" t="str">
            <v>VAR_fin</v>
          </cell>
          <cell r="C137" t="str">
            <v>SCOMLTHDHC</v>
          </cell>
          <cell r="D137">
            <v>5.5539059439531435</v>
          </cell>
          <cell r="E137">
            <v>6.0159379160907474</v>
          </cell>
          <cell r="F137">
            <v>4.9162375419161517</v>
          </cell>
          <cell r="G137">
            <v>5.7370447801611126</v>
          </cell>
          <cell r="H137">
            <v>6.5242493794224998</v>
          </cell>
          <cell r="I137">
            <v>6.9328342732551418</v>
          </cell>
          <cell r="J137"/>
        </row>
        <row r="138">
          <cell r="A138" t="str">
            <v>SCOM-SHLTHDH</v>
          </cell>
          <cell r="B138" t="str">
            <v>VAR_fin</v>
          </cell>
          <cell r="C138" t="str">
            <v>SCOM_LTH_DH</v>
          </cell>
          <cell r="D138">
            <v>5.6100060039930773</v>
          </cell>
          <cell r="E138">
            <v>6.0767049657482319</v>
          </cell>
          <cell r="F138">
            <v>5.9724310178058841</v>
          </cell>
          <cell r="G138">
            <v>6.9388697433061797</v>
          </cell>
          <cell r="H138">
            <v>7.8909819168933808</v>
          </cell>
          <cell r="I138">
            <v>8.3851592269940767</v>
          </cell>
          <cell r="J138"/>
          <cell r="K138"/>
        </row>
        <row r="139">
          <cell r="A139" t="str">
            <v>SCOM-SHLTHDH</v>
          </cell>
          <cell r="B139" t="str">
            <v>VAR_ncap</v>
          </cell>
          <cell r="C139" t="str">
            <v>-</v>
          </cell>
          <cell r="D139">
            <v>2.0573700938290199E-8</v>
          </cell>
          <cell r="E139">
            <v>3.54043054546547E-2</v>
          </cell>
          <cell r="F139">
            <v>3.9955628520419097E-2</v>
          </cell>
          <cell r="G139">
            <v>5.8051648458757397E-2</v>
          </cell>
          <cell r="H139">
            <v>0.181608623147685</v>
          </cell>
          <cell r="I139">
            <v>0.46538321541424998</v>
          </cell>
          <cell r="J139"/>
          <cell r="K139"/>
        </row>
        <row r="140">
          <cell r="A140" t="str">
            <v>SCOM-SHLTHDH</v>
          </cell>
          <cell r="B140" t="str">
            <v>VAR_cap</v>
          </cell>
          <cell r="C140" t="str">
            <v>-</v>
          </cell>
          <cell r="D140">
            <v>0.84970027350390598</v>
          </cell>
          <cell r="E140">
            <v>0.84941894360281711</v>
          </cell>
          <cell r="F140">
            <v>0.63397609406048372</v>
          </cell>
          <cell r="G140">
            <v>0.65215305719420891</v>
          </cell>
          <cell r="H140">
            <v>0.84969779418215985</v>
          </cell>
          <cell r="I140">
            <v>0.84969915931798068</v>
          </cell>
          <cell r="J140"/>
        </row>
        <row r="141">
          <cell r="A141" t="str">
            <v>ITOT-SWHSTG-ELC</v>
          </cell>
          <cell r="B141" t="str">
            <v>VAR_fout</v>
          </cell>
          <cell r="C141" t="str">
            <v>ITOT-SWHAELC</v>
          </cell>
          <cell r="D141">
            <v>7.8661497419462266E-5</v>
          </cell>
          <cell r="E141">
            <v>4.2902798515836844E-5</v>
          </cell>
          <cell r="F141">
            <v>0.15397373882313461</v>
          </cell>
          <cell r="G141">
            <v>3.5547656671566834E-2</v>
          </cell>
          <cell r="H141">
            <v>0.32901834329507884</v>
          </cell>
          <cell r="I141">
            <v>0.42545189509885789</v>
          </cell>
          <cell r="J141"/>
          <cell r="K141"/>
        </row>
        <row r="142">
          <cell r="A142" t="str">
            <v>ITOT-SWHSTG-ELC</v>
          </cell>
          <cell r="B142" t="str">
            <v>VAR_fin</v>
          </cell>
          <cell r="C142" t="str">
            <v>ITOT-SWHAELC</v>
          </cell>
          <cell r="D142">
            <v>1.0523621415141792E-4</v>
          </cell>
          <cell r="E142">
            <v>2.6991961534619924E-5</v>
          </cell>
          <cell r="F142">
            <v>0.19871657628028358</v>
          </cell>
          <cell r="G142">
            <v>4.4463851690043646E-2</v>
          </cell>
          <cell r="H142">
            <v>0.38712348441981215</v>
          </cell>
          <cell r="I142">
            <v>0.4727621676001898</v>
          </cell>
          <cell r="J142"/>
          <cell r="K142"/>
        </row>
        <row r="143">
          <cell r="A143" t="str">
            <v>ITOT-SWHSTG-ELC</v>
          </cell>
          <cell r="B143" t="str">
            <v>VAR_ncap</v>
          </cell>
          <cell r="C143" t="str">
            <v>-</v>
          </cell>
          <cell r="D143">
            <v>1.75042324532372E-3</v>
          </cell>
          <cell r="E143">
            <v>0.175870393334118</v>
          </cell>
          <cell r="F143">
            <v>4.9175214200878202E-5</v>
          </cell>
          <cell r="G143">
            <v>1.22281754557673E-2</v>
          </cell>
          <cell r="H143">
            <v>0.12486663901718301</v>
          </cell>
          <cell r="I143">
            <v>6.9842152724535506E-2</v>
          </cell>
          <cell r="J143"/>
          <cell r="K143"/>
        </row>
        <row r="144">
          <cell r="A144" t="str">
            <v>ITOT-SWHSTG-ELC</v>
          </cell>
          <cell r="B144" t="str">
            <v>VAR_cap</v>
          </cell>
          <cell r="C144" t="str">
            <v>-</v>
          </cell>
          <cell r="D144">
            <v>1.75042324532372E-3</v>
          </cell>
          <cell r="E144">
            <v>0.17761857619981461</v>
          </cell>
          <cell r="F144">
            <v>0.17766579190779519</v>
          </cell>
          <cell r="G144">
            <v>0.18989381251055709</v>
          </cell>
          <cell r="H144">
            <v>0.22345239389600385</v>
          </cell>
          <cell r="I144">
            <v>0.19862509992279553</v>
          </cell>
          <cell r="J144"/>
          <cell r="K144"/>
        </row>
        <row r="145">
          <cell r="A145" t="str">
            <v>D-SCOM_SOLELC</v>
          </cell>
          <cell r="B145" t="str">
            <v>VAR_fout</v>
          </cell>
          <cell r="C145" t="str">
            <v>ELC5</v>
          </cell>
          <cell r="D145">
            <v>0.39632974212945382</v>
          </cell>
          <cell r="E145">
            <v>1.672230792218534</v>
          </cell>
          <cell r="F145">
            <v>5.46869971855737</v>
          </cell>
          <cell r="G145">
            <v>6.0852251051283854</v>
          </cell>
          <cell r="H145">
            <v>6.3716103624415661</v>
          </cell>
          <cell r="I145">
            <v>6.892599906975466</v>
          </cell>
          <cell r="J145"/>
          <cell r="K145"/>
        </row>
        <row r="146">
          <cell r="A146" t="str">
            <v>D-SCOM_SOLELC</v>
          </cell>
          <cell r="B146" t="str">
            <v>VAR_fout</v>
          </cell>
          <cell r="C146" t="str">
            <v>SCOM_ELC</v>
          </cell>
          <cell r="D146">
            <v>2.4432939436425136</v>
          </cell>
          <cell r="E146">
            <v>1.6222257608266197</v>
          </cell>
          <cell r="F146">
            <v>4.4550927240316369</v>
          </cell>
          <cell r="G146">
            <v>4.6522001763127783</v>
          </cell>
          <cell r="H146">
            <v>5.4671340554998276</v>
          </cell>
          <cell r="I146">
            <v>6.0177892724467332</v>
          </cell>
          <cell r="J146"/>
          <cell r="K146"/>
        </row>
        <row r="147">
          <cell r="A147" t="str">
            <v>D-SCOM_SOLELC</v>
          </cell>
          <cell r="B147" t="str">
            <v>VAR_fin</v>
          </cell>
          <cell r="C147" t="str">
            <v>SCOM_SOL_ELC</v>
          </cell>
          <cell r="D147">
            <v>2.8396236857719668</v>
          </cell>
          <cell r="E147">
            <v>3.2944551635429171</v>
          </cell>
          <cell r="F147">
            <v>9.923792442588999</v>
          </cell>
          <cell r="G147">
            <v>10.737425281441162</v>
          </cell>
          <cell r="H147">
            <v>11.838744417941394</v>
          </cell>
          <cell r="I147">
            <v>12.910389179422202</v>
          </cell>
          <cell r="J147"/>
          <cell r="K147"/>
        </row>
        <row r="148">
          <cell r="A148" t="str">
            <v>D-ILFO</v>
          </cell>
          <cell r="B148" t="str">
            <v>VAR_fout</v>
          </cell>
          <cell r="C148" t="str">
            <v>CO2</v>
          </cell>
          <cell r="D148">
            <v>689.07517068455797</v>
          </cell>
          <cell r="E148">
            <v>659.57595052482202</v>
          </cell>
          <cell r="F148">
            <v>598.676542288782</v>
          </cell>
          <cell r="G148">
            <v>523.430875047521</v>
          </cell>
          <cell r="H148">
            <v>150.53794995233201</v>
          </cell>
          <cell r="I148">
            <v>1.68272785712054E-2</v>
          </cell>
          <cell r="J148"/>
          <cell r="K148"/>
        </row>
        <row r="149">
          <cell r="A149" t="str">
            <v>D-ILFO</v>
          </cell>
          <cell r="B149" t="str">
            <v>VAR_fout</v>
          </cell>
          <cell r="C149" t="str">
            <v>ILFO</v>
          </cell>
          <cell r="D149">
            <v>9.1935795425927331</v>
          </cell>
          <cell r="E149">
            <v>8.8000035750918695</v>
          </cell>
          <cell r="F149">
            <v>7.9875719915328194</v>
          </cell>
          <cell r="G149">
            <v>7.1422253176057851</v>
          </cell>
          <cell r="H149">
            <v>3.3382045310330839</v>
          </cell>
          <cell r="I149">
            <v>1.3299839674420064</v>
          </cell>
          <cell r="J149"/>
          <cell r="K149"/>
        </row>
        <row r="150">
          <cell r="A150" t="str">
            <v>D-ILFO</v>
          </cell>
          <cell r="B150" t="str">
            <v>VAR_fin</v>
          </cell>
          <cell r="C150" t="str">
            <v>LFO</v>
          </cell>
          <cell r="D150">
            <v>9.3497309455163968</v>
          </cell>
          <cell r="E150">
            <v>8.9494701563747938</v>
          </cell>
          <cell r="F150">
            <v>8.1231552549359876</v>
          </cell>
          <cell r="G150">
            <v>7.1021828364656896</v>
          </cell>
          <cell r="H150">
            <v>2.0425773399230889</v>
          </cell>
          <cell r="I150">
            <v>2.2832128319138934E-4</v>
          </cell>
          <cell r="J150"/>
          <cell r="K150"/>
        </row>
        <row r="151">
          <cell r="A151" t="str">
            <v>D-ILFO</v>
          </cell>
          <cell r="B151" t="str">
            <v>VAR_fin</v>
          </cell>
          <cell r="C151" t="str">
            <v>BDS</v>
          </cell>
          <cell r="D151"/>
          <cell r="E151"/>
          <cell r="F151">
            <v>8.4304017466584641E-5</v>
          </cell>
          <cell r="G151">
            <v>0.16135403144662575</v>
          </cell>
          <cell r="H151">
            <v>1.3523270833691945</v>
          </cell>
          <cell r="I151">
            <v>1.352345985192497</v>
          </cell>
          <cell r="J151"/>
          <cell r="K151"/>
        </row>
        <row r="152">
          <cell r="A152" t="str">
            <v>RHEM-SHSTG-NGAHP</v>
          </cell>
          <cell r="B152" t="str">
            <v>VAR_fout</v>
          </cell>
          <cell r="C152" t="str">
            <v>RHEM-SHANGAH</v>
          </cell>
          <cell r="D152"/>
          <cell r="E152"/>
          <cell r="F152">
            <v>1.3454630314386332E-2</v>
          </cell>
          <cell r="G152">
            <v>7.6522432988795613E-3</v>
          </cell>
          <cell r="H152">
            <v>6.3797842422395872E-3</v>
          </cell>
          <cell r="I152">
            <v>0.30228459348940329</v>
          </cell>
          <cell r="J152"/>
          <cell r="K152"/>
        </row>
        <row r="153">
          <cell r="A153" t="str">
            <v>RHEM-SHSTG-NGAHP</v>
          </cell>
          <cell r="B153" t="str">
            <v>VAR_fin</v>
          </cell>
          <cell r="C153" t="str">
            <v>RHEM-SHANGAH</v>
          </cell>
          <cell r="D153"/>
          <cell r="E153"/>
          <cell r="F153">
            <v>1.3515358213699659E-2</v>
          </cell>
          <cell r="G153">
            <v>7.713309933231596E-3</v>
          </cell>
          <cell r="H153">
            <v>6.410612486494301E-3</v>
          </cell>
          <cell r="I153">
            <v>0.30232200210665899</v>
          </cell>
          <cell r="J153"/>
        </row>
        <row r="154">
          <cell r="A154" t="str">
            <v>RHEM-SHSTG-NGAHP</v>
          </cell>
          <cell r="B154" t="str">
            <v>VAR_ncap</v>
          </cell>
          <cell r="C154" t="str">
            <v>-</v>
          </cell>
          <cell r="D154">
            <v>1.3133767521763199E-5</v>
          </cell>
          <cell r="E154">
            <v>1.4374588941750399E-5</v>
          </cell>
          <cell r="F154">
            <v>3.3760230489734797E-2</v>
          </cell>
          <cell r="G154">
            <v>3.7750067032196903E-2</v>
          </cell>
          <cell r="H154">
            <v>5.9659701568139198E-2</v>
          </cell>
          <cell r="I154">
            <v>0.102116105847289</v>
          </cell>
          <cell r="J154"/>
        </row>
        <row r="155">
          <cell r="A155" t="str">
            <v>RHEM-SHSTG-NGAHP</v>
          </cell>
          <cell r="B155" t="str">
            <v>VAR_cap</v>
          </cell>
          <cell r="C155" t="str">
            <v>-</v>
          </cell>
          <cell r="D155">
            <v>1.3133767521763199E-5</v>
          </cell>
          <cell r="E155">
            <v>4.7137259248339911E-7</v>
          </cell>
          <cell r="F155">
            <v>3.3755082099308581E-2</v>
          </cell>
          <cell r="G155">
            <v>7.1498566123311097E-2</v>
          </cell>
          <cell r="H155">
            <v>0.1152340619200367</v>
          </cell>
          <cell r="I155">
            <v>0.15546922303742167</v>
          </cell>
          <cell r="J155"/>
        </row>
        <row r="156">
          <cell r="A156" t="str">
            <v>RHEM-SHCONBR4</v>
          </cell>
          <cell r="B156" t="str">
            <v>VAR_fout</v>
          </cell>
          <cell r="C156" t="str">
            <v>RHEM-SHCON</v>
          </cell>
          <cell r="D156">
            <v>1.3471156103645788E-3</v>
          </cell>
          <cell r="E156">
            <v>0.53981829790416735</v>
          </cell>
          <cell r="F156">
            <v>0.3578932568723906</v>
          </cell>
          <cell r="G156">
            <v>0.53967591552865823</v>
          </cell>
          <cell r="H156">
            <v>0.5397491166780336</v>
          </cell>
          <cell r="I156">
            <v>0.31185704130339409</v>
          </cell>
          <cell r="J156"/>
          <cell r="K156"/>
        </row>
        <row r="157">
          <cell r="A157" t="str">
            <v>RHEM-SHCONBR4</v>
          </cell>
          <cell r="B157" t="str">
            <v>VAR_fin</v>
          </cell>
          <cell r="C157" t="str">
            <v>CON</v>
          </cell>
          <cell r="D157">
            <v>1.3471156103645788E-3</v>
          </cell>
          <cell r="E157">
            <v>0.53981829790416735</v>
          </cell>
          <cell r="F157">
            <v>0.3578932568723906</v>
          </cell>
          <cell r="G157">
            <v>0.53967591552865823</v>
          </cell>
          <cell r="H157">
            <v>0.5397491166780336</v>
          </cell>
          <cell r="I157">
            <v>0.31185704130339409</v>
          </cell>
          <cell r="J157"/>
        </row>
        <row r="158">
          <cell r="A158" t="str">
            <v>RHEM-SHCONBR4</v>
          </cell>
          <cell r="B158" t="str">
            <v>VAR_ncap</v>
          </cell>
          <cell r="C158" t="str">
            <v>-</v>
          </cell>
          <cell r="D158">
            <v>1.96361730076116E-4</v>
          </cell>
          <cell r="E158">
            <v>3.7916542502731097E-2</v>
          </cell>
          <cell r="F158">
            <v>2.1725229065040898E-8</v>
          </cell>
          <cell r="G158">
            <v>3.2705814177490098E-8</v>
          </cell>
          <cell r="H158">
            <v>5.7988153273873097E-8</v>
          </cell>
          <cell r="I158">
            <v>1.4182518353787899E-7</v>
          </cell>
          <cell r="J158"/>
        </row>
        <row r="159">
          <cell r="A159" t="str">
            <v>RHEM-SHCONBR4</v>
          </cell>
          <cell r="B159" t="str">
            <v>VAR_cap</v>
          </cell>
          <cell r="C159" t="str">
            <v>-</v>
          </cell>
          <cell r="D159">
            <v>1.96361730076116E-4</v>
          </cell>
          <cell r="E159">
            <v>3.81129042328072E-2</v>
          </cell>
          <cell r="F159">
            <v>3.8111594515075842E-2</v>
          </cell>
          <cell r="G159">
            <v>3.8112806997247457E-2</v>
          </cell>
          <cell r="H159">
            <v>3.8112869993043294E-2</v>
          </cell>
          <cell r="I159">
            <v>2.2018285901713619E-2</v>
          </cell>
          <cell r="J159"/>
          <cell r="K159"/>
        </row>
        <row r="160">
          <cell r="A160" t="str">
            <v>RHNM-SHCONBR</v>
          </cell>
          <cell r="B160" t="str">
            <v>VAR_fout</v>
          </cell>
          <cell r="C160" t="str">
            <v>RHNM-SHCON</v>
          </cell>
          <cell r="D160"/>
          <cell r="E160"/>
          <cell r="F160">
            <v>1.2327973554282464E-3</v>
          </cell>
          <cell r="G160">
            <v>1.1925685159911638E-3</v>
          </cell>
          <cell r="H160">
            <v>1.0646405438523344E-2</v>
          </cell>
          <cell r="I160">
            <v>0.13658591959497773</v>
          </cell>
          <cell r="J160"/>
          <cell r="K160"/>
        </row>
        <row r="161">
          <cell r="A161" t="str">
            <v>RHNM-SHCONBR</v>
          </cell>
          <cell r="B161" t="str">
            <v>VAR_fin</v>
          </cell>
          <cell r="C161" t="str">
            <v>CON</v>
          </cell>
          <cell r="D161"/>
          <cell r="E161"/>
          <cell r="F161">
            <v>1.2327973554282464E-3</v>
          </cell>
          <cell r="G161">
            <v>1.1925685159911638E-3</v>
          </cell>
          <cell r="H161">
            <v>1.0646405438523344E-2</v>
          </cell>
          <cell r="I161">
            <v>0.13658591959497773</v>
          </cell>
          <cell r="J161"/>
          <cell r="K161"/>
        </row>
        <row r="162">
          <cell r="A162" t="str">
            <v>RHNM-SHCONBR</v>
          </cell>
          <cell r="B162" t="str">
            <v>VAR_ncap</v>
          </cell>
          <cell r="C162" t="str">
            <v>-</v>
          </cell>
          <cell r="D162"/>
          <cell r="E162">
            <v>4.3299970613174298E-8</v>
          </cell>
          <cell r="F162">
            <v>8.7110357797976195E-5</v>
          </cell>
          <cell r="G162">
            <v>1.05869551642791E-7</v>
          </cell>
          <cell r="H162">
            <v>6.9643348157698401E-4</v>
          </cell>
          <cell r="I162">
            <v>9.7628898555513297E-3</v>
          </cell>
          <cell r="J162"/>
        </row>
        <row r="163">
          <cell r="A163" t="str">
            <v>RHNM-SHCONBR</v>
          </cell>
          <cell r="B163" t="str">
            <v>VAR_cap</v>
          </cell>
          <cell r="C163" t="str">
            <v>-</v>
          </cell>
          <cell r="D163"/>
          <cell r="E163">
            <v>4.3299970613174298E-8</v>
          </cell>
          <cell r="F163">
            <v>8.7127320616572958E-5</v>
          </cell>
          <cell r="G163">
            <v>8.7210779177540753E-5</v>
          </cell>
          <cell r="H163">
            <v>8.1829587268487751E-4</v>
          </cell>
          <cell r="I163">
            <v>1.05813092565028E-2</v>
          </cell>
          <cell r="J163"/>
        </row>
        <row r="164">
          <cell r="A164" t="str">
            <v>RHEM-SHCONBR5</v>
          </cell>
          <cell r="B164" t="str">
            <v>VAR_fout</v>
          </cell>
          <cell r="C164" t="str">
            <v>RHEM-SHCON</v>
          </cell>
          <cell r="D164">
            <v>1.8728751847571609E-4</v>
          </cell>
          <cell r="E164">
            <v>0.59587800198052576</v>
          </cell>
          <cell r="F164">
            <v>0.39814425413403992</v>
          </cell>
          <cell r="G164">
            <v>0.59573609248846859</v>
          </cell>
          <cell r="H164">
            <v>0.5958088440750704</v>
          </cell>
          <cell r="I164">
            <v>0.34447119629412287</v>
          </cell>
          <cell r="J164"/>
          <cell r="K164"/>
        </row>
        <row r="165">
          <cell r="A165" t="str">
            <v>RHEM-SHCONBR5</v>
          </cell>
          <cell r="B165" t="str">
            <v>VAR_fin</v>
          </cell>
          <cell r="C165" t="str">
            <v>CON</v>
          </cell>
          <cell r="D165">
            <v>1.8728751847571609E-4</v>
          </cell>
          <cell r="E165">
            <v>0.59587800198052576</v>
          </cell>
          <cell r="F165">
            <v>0.39814425413403992</v>
          </cell>
          <cell r="G165">
            <v>0.59573609248846859</v>
          </cell>
          <cell r="H165">
            <v>0.5958088440750704</v>
          </cell>
          <cell r="I165">
            <v>0.34447119629412287</v>
          </cell>
          <cell r="J165"/>
        </row>
        <row r="166">
          <cell r="A166" t="str">
            <v>RHEM-SHCONBR5</v>
          </cell>
          <cell r="B166" t="str">
            <v>VAR_ncap</v>
          </cell>
          <cell r="C166" t="str">
            <v>-</v>
          </cell>
          <cell r="D166">
            <v>5.7245932561975597E-6</v>
          </cell>
          <cell r="E166">
            <v>4.2065754224275102E-2</v>
          </cell>
          <cell r="F166">
            <v>1.9389895437931499E-8</v>
          </cell>
          <cell r="G166">
            <v>2.7979037506947499E-8</v>
          </cell>
          <cell r="H166">
            <v>4.8409635682975802E-8</v>
          </cell>
          <cell r="I166">
            <v>1.0730378896564399E-7</v>
          </cell>
          <cell r="J166"/>
          <cell r="K166"/>
        </row>
        <row r="167">
          <cell r="A167" t="str">
            <v>RHEM-SHCONBR5</v>
          </cell>
          <cell r="B167" t="str">
            <v>VAR_cap</v>
          </cell>
          <cell r="C167" t="str">
            <v>-</v>
          </cell>
          <cell r="D167">
            <v>5.7245932561975597E-6</v>
          </cell>
          <cell r="E167">
            <v>4.2071478817531302E-2</v>
          </cell>
          <cell r="F167">
            <v>4.2070169180874167E-2</v>
          </cell>
          <cell r="G167">
            <v>4.2071375080212248E-2</v>
          </cell>
          <cell r="H167">
            <v>4.2071421768193791E-2</v>
          </cell>
          <cell r="I167">
            <v>2.4321286597513099E-2</v>
          </cell>
          <cell r="J167"/>
          <cell r="K167"/>
        </row>
        <row r="168">
          <cell r="A168" t="str">
            <v>ITOT-SWHNGABR</v>
          </cell>
          <cell r="B168" t="str">
            <v>VAR_fout</v>
          </cell>
          <cell r="C168" t="str">
            <v>ITOT-SWH</v>
          </cell>
          <cell r="D168">
            <v>28.619772219943563</v>
          </cell>
          <cell r="E168">
            <v>24.001715951301481</v>
          </cell>
          <cell r="F168">
            <v>27.039281723346143</v>
          </cell>
          <cell r="G168">
            <v>25.038847388656588</v>
          </cell>
          <cell r="H168">
            <v>22.462628332680769</v>
          </cell>
          <cell r="I168">
            <v>17.164689744988472</v>
          </cell>
          <cell r="J168"/>
        </row>
        <row r="169">
          <cell r="A169" t="str">
            <v>ITOT-SWHNGABR</v>
          </cell>
          <cell r="B169" t="str">
            <v>VAR_fout</v>
          </cell>
          <cell r="C169" t="str">
            <v>CO2_I</v>
          </cell>
          <cell r="D169">
            <v>2005.15338366336</v>
          </cell>
          <cell r="E169">
            <v>1680.1333180839799</v>
          </cell>
          <cell r="F169">
            <v>1890.28489836993</v>
          </cell>
          <cell r="G169">
            <v>1746.6231223596401</v>
          </cell>
          <cell r="H169">
            <v>1560.1168774376399</v>
          </cell>
          <cell r="I169">
            <v>1187.00456238931</v>
          </cell>
          <cell r="J169"/>
          <cell r="K169"/>
        </row>
        <row r="170">
          <cell r="A170" t="str">
            <v>ITOT-SWHNGABR</v>
          </cell>
          <cell r="B170" t="str">
            <v>VAR_fin</v>
          </cell>
          <cell r="C170" t="str">
            <v>INGA</v>
          </cell>
          <cell r="D170">
            <v>35.552364958570244</v>
          </cell>
          <cell r="E170">
            <v>29.78959783836854</v>
          </cell>
          <cell r="F170">
            <v>33.51568968741006</v>
          </cell>
          <cell r="G170">
            <v>30.968495077298559</v>
          </cell>
          <cell r="H170">
            <v>27.661646763078767</v>
          </cell>
          <cell r="I170">
            <v>21.046180184207579</v>
          </cell>
          <cell r="J170"/>
        </row>
        <row r="171">
          <cell r="A171" t="str">
            <v>ITOT-SWHNGABR</v>
          </cell>
          <cell r="B171" t="str">
            <v>VAR_ncap</v>
          </cell>
          <cell r="C171" t="str">
            <v>-</v>
          </cell>
          <cell r="D171"/>
          <cell r="E171">
            <v>1.38659526738966E-5</v>
          </cell>
          <cell r="F171">
            <v>8.8303208947600001E-6</v>
          </cell>
          <cell r="G171">
            <v>1.0875216602660201E-5</v>
          </cell>
          <cell r="H171">
            <v>0.44999117651292603</v>
          </cell>
          <cell r="I171">
            <v>0.36931782447550698</v>
          </cell>
          <cell r="J171"/>
        </row>
        <row r="172">
          <cell r="A172" t="str">
            <v>ITOT-SWHNGABR</v>
          </cell>
          <cell r="B172" t="str">
            <v>VAR_cap</v>
          </cell>
          <cell r="C172" t="str">
            <v>-</v>
          </cell>
          <cell r="D172">
            <v>1.556581895256</v>
          </cell>
          <cell r="E172">
            <v>1.5565644277333661</v>
          </cell>
          <cell r="F172">
            <v>1.5565346470634109</v>
          </cell>
          <cell r="G172">
            <v>1.556444112610855</v>
          </cell>
          <cell r="H172">
            <v>1.4241382578137716</v>
          </cell>
          <cell r="I172">
            <v>1.1079343782866689</v>
          </cell>
          <cell r="J172"/>
        </row>
        <row r="173">
          <cell r="A173" t="str">
            <v>RHNM-SHSOLBR</v>
          </cell>
          <cell r="B173" t="str">
            <v>VAR_fout</v>
          </cell>
          <cell r="C173" t="str">
            <v>RHNM-SHASOL</v>
          </cell>
          <cell r="D173"/>
          <cell r="E173">
            <v>2.1550369279158606E-2</v>
          </cell>
          <cell r="F173">
            <v>3.572224135153661E-5</v>
          </cell>
          <cell r="G173">
            <v>4.8815726068230319E-5</v>
          </cell>
          <cell r="H173">
            <v>5.8385502185796783E-5</v>
          </cell>
          <cell r="I173">
            <v>2.0395195528593294E-4</v>
          </cell>
          <cell r="J173"/>
        </row>
        <row r="174">
          <cell r="A174" t="str">
            <v>RHNM-SHSOLBR</v>
          </cell>
          <cell r="B174" t="str">
            <v>VAR_fin</v>
          </cell>
          <cell r="C174" t="str">
            <v>SOL</v>
          </cell>
          <cell r="D174"/>
          <cell r="E174">
            <v>2.1550369279158606E-2</v>
          </cell>
          <cell r="F174">
            <v>3.572224135153661E-5</v>
          </cell>
          <cell r="G174">
            <v>4.8815726068230319E-5</v>
          </cell>
          <cell r="H174">
            <v>5.8385502185796783E-5</v>
          </cell>
          <cell r="I174">
            <v>2.0395195528593294E-4</v>
          </cell>
          <cell r="J174"/>
        </row>
        <row r="175">
          <cell r="A175" t="str">
            <v>RHNM-SHSOLBR</v>
          </cell>
          <cell r="B175" t="str">
            <v>VAR_ncap</v>
          </cell>
          <cell r="C175" t="str">
            <v>-</v>
          </cell>
          <cell r="D175"/>
          <cell r="E175">
            <v>3.1470726734142002E-3</v>
          </cell>
          <cell r="F175">
            <v>6.1545278089730403E-6</v>
          </cell>
          <cell r="G175">
            <v>5.7488696863835302E-6</v>
          </cell>
          <cell r="H175">
            <v>7.3962871489911805E-5</v>
          </cell>
          <cell r="I175">
            <v>3.17325709182525E-5</v>
          </cell>
          <cell r="J175"/>
        </row>
        <row r="176">
          <cell r="A176" t="str">
            <v>RHNM-SHSOLBR</v>
          </cell>
          <cell r="B176" t="str">
            <v>VAR_cap</v>
          </cell>
          <cell r="C176" t="str">
            <v>-</v>
          </cell>
          <cell r="D176"/>
          <cell r="E176">
            <v>3.1470726734142002E-3</v>
          </cell>
          <cell r="F176">
            <v>1.2060137538833498E-3</v>
          </cell>
          <cell r="G176">
            <v>1.16573867684506E-3</v>
          </cell>
          <cell r="H176">
            <v>1.4463810142822673E-4</v>
          </cell>
          <cell r="I176">
            <v>1.1313142422820836E-4</v>
          </cell>
          <cell r="J176"/>
        </row>
        <row r="177">
          <cell r="A177" t="str">
            <v>RHEM-SHPLTBR</v>
          </cell>
          <cell r="B177" t="str">
            <v>VAR_fout</v>
          </cell>
          <cell r="C177" t="str">
            <v>RHEM-SHPLT</v>
          </cell>
          <cell r="D177">
            <v>1.4011344672678954</v>
          </cell>
          <cell r="E177">
            <v>1.6078011793761358</v>
          </cell>
          <cell r="F177">
            <v>0.30156416501217953</v>
          </cell>
          <cell r="G177">
            <v>0.45850367322082614</v>
          </cell>
          <cell r="H177">
            <v>0.60598849533694099</v>
          </cell>
          <cell r="I177">
            <v>0.70207520436853255</v>
          </cell>
          <cell r="J177"/>
        </row>
        <row r="178">
          <cell r="A178" t="str">
            <v>RHEM-SHPLTBR</v>
          </cell>
          <cell r="B178" t="str">
            <v>VAR_fin</v>
          </cell>
          <cell r="C178" t="str">
            <v>RHEMPLTBRC</v>
          </cell>
          <cell r="D178">
            <v>1.4011344672678954</v>
          </cell>
          <cell r="E178">
            <v>1.6078011793761358</v>
          </cell>
          <cell r="F178">
            <v>0.30156416501217953</v>
          </cell>
          <cell r="G178">
            <v>0.45850367322082614</v>
          </cell>
          <cell r="H178">
            <v>0.60598849533694099</v>
          </cell>
          <cell r="I178">
            <v>0.70207520436853255</v>
          </cell>
          <cell r="J178"/>
        </row>
        <row r="179">
          <cell r="A179" t="str">
            <v>RHEM-SHPLTBR</v>
          </cell>
          <cell r="B179" t="str">
            <v>VAR_fin</v>
          </cell>
          <cell r="C179" t="str">
            <v>RPLT</v>
          </cell>
          <cell r="D179">
            <v>1.5568160747421074</v>
          </cell>
          <cell r="E179">
            <v>1.7864457548623742</v>
          </cell>
          <cell r="F179">
            <v>0.41023160077074339</v>
          </cell>
          <cell r="G179">
            <v>0.61856209664157613</v>
          </cell>
          <cell r="H179">
            <v>0.81360431308650039</v>
          </cell>
          <cell r="I179">
            <v>0.93658626001861334</v>
          </cell>
          <cell r="J179"/>
        </row>
        <row r="180">
          <cell r="A180" t="str">
            <v>RHEM-SHPLTBR</v>
          </cell>
          <cell r="B180" t="str">
            <v>VAR_ncap</v>
          </cell>
          <cell r="C180" t="str">
            <v>-</v>
          </cell>
          <cell r="D180">
            <v>1.32440737583848E-6</v>
          </cell>
          <cell r="E180">
            <v>1.47131741141617E-2</v>
          </cell>
          <cell r="F180">
            <v>8.4966754468919706E-8</v>
          </cell>
          <cell r="G180">
            <v>7.1740060075772705E-7</v>
          </cell>
          <cell r="H180">
            <v>2.09075100456938E-2</v>
          </cell>
          <cell r="I180">
            <v>2.5043130320889201E-2</v>
          </cell>
          <cell r="J180"/>
          <cell r="K180"/>
          <cell r="L180"/>
        </row>
        <row r="181">
          <cell r="A181" t="str">
            <v>RHEM-SHPLTBR</v>
          </cell>
          <cell r="B181" t="str">
            <v>VAR_cap</v>
          </cell>
          <cell r="C181" t="str">
            <v>-</v>
          </cell>
          <cell r="D181">
            <v>9.9700380527656438E-2</v>
          </cell>
          <cell r="E181">
            <v>0.11441350490366047</v>
          </cell>
          <cell r="F181">
            <v>4.7119335696709091E-2</v>
          </cell>
          <cell r="G181">
            <v>4.7119407623536211E-2</v>
          </cell>
          <cell r="H181">
            <v>4.3085140384609734E-2</v>
          </cell>
          <cell r="I181">
            <v>4.9597191003420374E-2</v>
          </cell>
          <cell r="J181"/>
        </row>
        <row r="182">
          <cell r="A182" t="str">
            <v>RHEM-SHCONBR6</v>
          </cell>
          <cell r="B182" t="str">
            <v>VAR_fout</v>
          </cell>
          <cell r="C182" t="str">
            <v>RHEM-SHCON</v>
          </cell>
          <cell r="D182"/>
          <cell r="E182">
            <v>1.2996675929329926E-3</v>
          </cell>
          <cell r="F182">
            <v>7.0371527516891754E-4</v>
          </cell>
          <cell r="G182">
            <v>1.2046737195298429E-3</v>
          </cell>
          <cell r="H182">
            <v>1.2515025164109232E-3</v>
          </cell>
          <cell r="I182">
            <v>7.5784987537664042E-4</v>
          </cell>
          <cell r="J182"/>
        </row>
        <row r="183">
          <cell r="A183" t="str">
            <v>RHEM-SHCONBR6</v>
          </cell>
          <cell r="B183" t="str">
            <v>VAR_fin</v>
          </cell>
          <cell r="C183" t="str">
            <v>CON</v>
          </cell>
          <cell r="D183"/>
          <cell r="E183">
            <v>1.2996675929329926E-3</v>
          </cell>
          <cell r="F183">
            <v>7.0371527516891754E-4</v>
          </cell>
          <cell r="G183">
            <v>1.2046737195298429E-3</v>
          </cell>
          <cell r="H183">
            <v>1.2515025164109232E-3</v>
          </cell>
          <cell r="I183">
            <v>7.5784987537664042E-4</v>
          </cell>
          <cell r="J183"/>
        </row>
        <row r="184">
          <cell r="A184" t="str">
            <v>RHEM-SHCONBR6</v>
          </cell>
          <cell r="B184" t="str">
            <v>VAR_ncap</v>
          </cell>
          <cell r="C184" t="str">
            <v>-</v>
          </cell>
          <cell r="D184"/>
          <cell r="E184">
            <v>8.6456903320594202E-5</v>
          </cell>
          <cell r="F184">
            <v>1.66359689979297E-8</v>
          </cell>
          <cell r="G184">
            <v>2.2206938565451698E-8</v>
          </cell>
          <cell r="H184">
            <v>3.5564272015619599E-8</v>
          </cell>
          <cell r="I184">
            <v>7.0345549893400899E-8</v>
          </cell>
          <cell r="J184"/>
        </row>
        <row r="185">
          <cell r="A185" t="str">
            <v>RHEM-SHCONBR6</v>
          </cell>
          <cell r="B185" t="str">
            <v>VAR_cap</v>
          </cell>
          <cell r="C185" t="str">
            <v>-</v>
          </cell>
          <cell r="D185"/>
          <cell r="E185">
            <v>8.6456903320594202E-5</v>
          </cell>
          <cell r="F185">
            <v>8.631980104580522E-5</v>
          </cell>
          <cell r="G185">
            <v>8.6412415606673343E-5</v>
          </cell>
          <cell r="H185">
            <v>8.6429058259546407E-5</v>
          </cell>
          <cell r="I185">
            <v>5.0105319914683302E-5</v>
          </cell>
          <cell r="J185"/>
        </row>
        <row r="186">
          <cell r="A186" t="str">
            <v>RHEM-SHCONBR7</v>
          </cell>
          <cell r="B186" t="str">
            <v>VAR_fout</v>
          </cell>
          <cell r="C186" t="str">
            <v>RHEM-SHCON</v>
          </cell>
          <cell r="D186"/>
          <cell r="E186">
            <v>2.305090537311988E-4</v>
          </cell>
          <cell r="F186">
            <v>1.6445196192781225E-4</v>
          </cell>
          <cell r="G186">
            <v>1.9425632072074349E-4</v>
          </cell>
          <cell r="H186">
            <v>2.159177348428394E-4</v>
          </cell>
          <cell r="I186">
            <v>1.4385693314439486E-4</v>
          </cell>
          <cell r="J186"/>
          <cell r="K186"/>
        </row>
        <row r="187">
          <cell r="A187" t="str">
            <v>RHEM-SHCONBR7</v>
          </cell>
          <cell r="B187" t="str">
            <v>VAR_fin</v>
          </cell>
          <cell r="C187" t="str">
            <v>CON</v>
          </cell>
          <cell r="D187"/>
          <cell r="E187">
            <v>2.305090537311988E-4</v>
          </cell>
          <cell r="F187">
            <v>1.6445196192781225E-4</v>
          </cell>
          <cell r="G187">
            <v>1.9425632072074349E-4</v>
          </cell>
          <cell r="H187">
            <v>2.159177348428394E-4</v>
          </cell>
          <cell r="I187">
            <v>1.4385693314439486E-4</v>
          </cell>
          <cell r="J187"/>
          <cell r="K187"/>
        </row>
        <row r="188">
          <cell r="A188" t="str">
            <v>RHEM-SHCONBR7</v>
          </cell>
          <cell r="B188" t="str">
            <v>VAR_ncap</v>
          </cell>
          <cell r="C188" t="str">
            <v>-</v>
          </cell>
          <cell r="D188"/>
          <cell r="E188">
            <v>1.09586002741428E-5</v>
          </cell>
          <cell r="F188">
            <v>1.7448189337391301E-8</v>
          </cell>
          <cell r="G188">
            <v>2.23477726451723E-8</v>
          </cell>
          <cell r="H188">
            <v>3.1273441515327701E-8</v>
          </cell>
          <cell r="I188">
            <v>5.8167464378279597E-8</v>
          </cell>
          <cell r="J188"/>
          <cell r="K188"/>
        </row>
        <row r="189">
          <cell r="A189" t="str">
            <v>RHEM-SHCONBR7</v>
          </cell>
          <cell r="B189" t="str">
            <v>VAR_cap</v>
          </cell>
          <cell r="C189" t="str">
            <v>-</v>
          </cell>
          <cell r="D189"/>
          <cell r="E189">
            <v>1.09586002741428E-5</v>
          </cell>
          <cell r="F189">
            <v>1.0925117357372922E-5</v>
          </cell>
          <cell r="G189">
            <v>1.0944198483474147E-5</v>
          </cell>
          <cell r="H189">
            <v>1.0959266176447472E-5</v>
          </cell>
          <cell r="I189">
            <v>6.4499626749201048E-6</v>
          </cell>
          <cell r="J189"/>
        </row>
        <row r="190">
          <cell r="A190" t="str">
            <v>RHEM-SHCONBR8</v>
          </cell>
          <cell r="B190" t="str">
            <v>VAR_fout</v>
          </cell>
          <cell r="C190" t="str">
            <v>RHEM-SHCON</v>
          </cell>
          <cell r="D190"/>
          <cell r="E190">
            <v>7.5428530597897891E-5</v>
          </cell>
          <cell r="F190">
            <v>8.2959393932452715E-5</v>
          </cell>
          <cell r="G190">
            <v>6.0996852459965034E-5</v>
          </cell>
          <cell r="H190">
            <v>6.5561527588875031E-5</v>
          </cell>
          <cell r="I190">
            <v>5.3345645778090411E-5</v>
          </cell>
          <cell r="J190"/>
        </row>
        <row r="191">
          <cell r="A191" t="str">
            <v>RHEM-SHCONBR8</v>
          </cell>
          <cell r="B191" t="str">
            <v>VAR_fin</v>
          </cell>
          <cell r="C191" t="str">
            <v>CON</v>
          </cell>
          <cell r="D191"/>
          <cell r="E191">
            <v>7.5428530597897891E-5</v>
          </cell>
          <cell r="F191">
            <v>8.2959393932452715E-5</v>
          </cell>
          <cell r="G191">
            <v>6.0996852459965034E-5</v>
          </cell>
          <cell r="H191">
            <v>6.5561527588875031E-5</v>
          </cell>
          <cell r="I191">
            <v>5.3345645778090411E-5</v>
          </cell>
          <cell r="J191"/>
          <cell r="K191"/>
        </row>
        <row r="192">
          <cell r="A192" t="str">
            <v>RHEM-SHCONBR8</v>
          </cell>
          <cell r="B192" t="str">
            <v>VAR_ncap</v>
          </cell>
          <cell r="C192" t="str">
            <v>-</v>
          </cell>
          <cell r="D192"/>
          <cell r="E192"/>
          <cell r="F192"/>
          <cell r="G192"/>
          <cell r="H192">
            <v>1.22502686255251E-8</v>
          </cell>
          <cell r="I192">
            <v>1.7232817756159799E-8</v>
          </cell>
          <cell r="J192"/>
        </row>
        <row r="193">
          <cell r="A193" t="str">
            <v>RHEM-SHCONBR8</v>
          </cell>
          <cell r="B193" t="str">
            <v>VAR_cap</v>
          </cell>
          <cell r="C193" t="str">
            <v>-</v>
          </cell>
          <cell r="D193"/>
          <cell r="E193"/>
          <cell r="F193">
            <v>-2.9518685673910199E-8</v>
          </cell>
          <cell r="G193">
            <v>-3.14326976095055E-8</v>
          </cell>
          <cell r="H193">
            <v>-3.8279843928786604E-8</v>
          </cell>
          <cell r="I193">
            <v>2.1134434692603203E-8</v>
          </cell>
          <cell r="J193"/>
        </row>
        <row r="194">
          <cell r="A194" t="str">
            <v>RHES-SHELCHP</v>
          </cell>
          <cell r="B194" t="str">
            <v>VAR_fout</v>
          </cell>
          <cell r="C194" t="str">
            <v>RHES-SHAELCH</v>
          </cell>
          <cell r="D194">
            <v>9.1578374176626642</v>
          </cell>
          <cell r="E194">
            <v>10.27593101150126</v>
          </cell>
          <cell r="F194">
            <v>19.566754148291245</v>
          </cell>
          <cell r="G194">
            <v>22.712154891286019</v>
          </cell>
          <cell r="H194">
            <v>25.405518559716576</v>
          </cell>
          <cell r="I194">
            <v>26.913599182795252</v>
          </cell>
          <cell r="J194"/>
        </row>
        <row r="195">
          <cell r="A195" t="str">
            <v>RHES-SHELCHP</v>
          </cell>
          <cell r="B195" t="str">
            <v>VAR_fin</v>
          </cell>
          <cell r="C195" t="str">
            <v>RHES_ELC</v>
          </cell>
          <cell r="D195">
            <v>2.8618241850222419</v>
          </cell>
          <cell r="E195">
            <v>3.1585853427157069</v>
          </cell>
          <cell r="F195">
            <v>6.7872517356598143</v>
          </cell>
          <cell r="G195">
            <v>7.3721058108275743</v>
          </cell>
          <cell r="H195">
            <v>7.554058381936942</v>
          </cell>
          <cell r="I195">
            <v>7.3489441427719333</v>
          </cell>
          <cell r="J195"/>
        </row>
        <row r="196">
          <cell r="A196" t="str">
            <v>RHES-SHELCHP</v>
          </cell>
          <cell r="B196" t="str">
            <v>VAR_fin</v>
          </cell>
          <cell r="C196" t="str">
            <v>RHESELCHPC</v>
          </cell>
          <cell r="D196">
            <v>9.1578374176626642</v>
          </cell>
          <cell r="E196">
            <v>10.27593101150126</v>
          </cell>
          <cell r="F196">
            <v>19.566754148291245</v>
          </cell>
          <cell r="G196">
            <v>22.712154891286019</v>
          </cell>
          <cell r="H196">
            <v>25.405518559716576</v>
          </cell>
          <cell r="I196">
            <v>26.913599182795252</v>
          </cell>
          <cell r="J196"/>
          <cell r="K196"/>
        </row>
        <row r="197">
          <cell r="A197" t="str">
            <v>RHES-SHELCHP</v>
          </cell>
          <cell r="B197" t="str">
            <v>VAR_ncap</v>
          </cell>
          <cell r="C197" t="str">
            <v>-</v>
          </cell>
          <cell r="D197">
            <v>1.5376755592882499E-7</v>
          </cell>
          <cell r="E197">
            <v>9.0328441817107696E-2</v>
          </cell>
          <cell r="F197">
            <v>0.75061066962246603</v>
          </cell>
          <cell r="G197">
            <v>0.25410383392328001</v>
          </cell>
          <cell r="H197">
            <v>1.00981965390043</v>
          </cell>
          <cell r="I197">
            <v>1.1300440647743699</v>
          </cell>
          <cell r="J197"/>
          <cell r="K197"/>
        </row>
        <row r="198">
          <cell r="A198" t="str">
            <v>RHES-SHELCHP</v>
          </cell>
          <cell r="B198" t="str">
            <v>VAR_cap</v>
          </cell>
          <cell r="C198" t="str">
            <v>-</v>
          </cell>
          <cell r="D198">
            <v>0.73983808169292087</v>
          </cell>
          <cell r="E198">
            <v>0.83016646786858483</v>
          </cell>
          <cell r="F198">
            <v>1.5807768965929867</v>
          </cell>
          <cell r="G198">
            <v>1.8348806592332256</v>
          </cell>
          <cell r="H198">
            <v>2.0524667905484768</v>
          </cell>
          <cell r="I198">
            <v>2.1742907394721382</v>
          </cell>
          <cell r="J198"/>
          <cell r="K198"/>
          <cell r="L198"/>
          <cell r="M198"/>
        </row>
        <row r="199">
          <cell r="A199" t="str">
            <v>RHSA-WHELCHP</v>
          </cell>
          <cell r="B199" t="str">
            <v>VAR_fout</v>
          </cell>
          <cell r="C199" t="str">
            <v>RHSA-WHAELCH</v>
          </cell>
          <cell r="D199">
            <v>3.2399276109607995</v>
          </cell>
          <cell r="E199">
            <v>3.6354821599222906</v>
          </cell>
          <cell r="F199">
            <v>4.7404144345768593</v>
          </cell>
          <cell r="G199">
            <v>6.9371030851374318</v>
          </cell>
          <cell r="H199">
            <v>10.259575540909939</v>
          </cell>
          <cell r="I199">
            <v>13.438692520323615</v>
          </cell>
          <cell r="J199"/>
          <cell r="K199"/>
        </row>
        <row r="200">
          <cell r="A200" t="str">
            <v>RHSA-WHELCHP</v>
          </cell>
          <cell r="B200" t="str">
            <v>VAR_fin</v>
          </cell>
          <cell r="C200" t="str">
            <v>RHSA_ELC</v>
          </cell>
          <cell r="D200">
            <v>1.1489105003407094</v>
          </cell>
          <cell r="E200">
            <v>1.2864409624636535</v>
          </cell>
          <cell r="F200">
            <v>2.5217328096390434</v>
          </cell>
          <cell r="G200">
            <v>3.4037660210906107</v>
          </cell>
          <cell r="H200">
            <v>4.5840408802275263</v>
          </cell>
          <cell r="I200">
            <v>5.4958386372608254</v>
          </cell>
          <cell r="J200"/>
          <cell r="K200"/>
        </row>
        <row r="201">
          <cell r="A201" t="str">
            <v>RHSA-WHELCHP</v>
          </cell>
          <cell r="B201" t="str">
            <v>VAR_ncap</v>
          </cell>
          <cell r="C201" t="str">
            <v>-</v>
          </cell>
          <cell r="D201">
            <v>1.97313291358642E-6</v>
          </cell>
          <cell r="E201">
            <v>3.2774231324434702E-2</v>
          </cell>
          <cell r="F201">
            <v>6.7741041512195899E-2</v>
          </cell>
          <cell r="G201">
            <v>0.14764897665160101</v>
          </cell>
          <cell r="H201">
            <v>0.28222484952939703</v>
          </cell>
          <cell r="I201">
            <v>0.58420472751128905</v>
          </cell>
          <cell r="J201"/>
          <cell r="K201"/>
          <cell r="M201"/>
        </row>
        <row r="202">
          <cell r="A202" t="str">
            <v>RHSA-WHELCHP</v>
          </cell>
          <cell r="B202" t="str">
            <v>VAR_cap</v>
          </cell>
          <cell r="C202" t="str">
            <v>-</v>
          </cell>
          <cell r="D202">
            <v>0.21335463555215459</v>
          </cell>
          <cell r="E202">
            <v>0.24612872623000795</v>
          </cell>
          <cell r="F202">
            <v>0.31386950241795658</v>
          </cell>
          <cell r="G202">
            <v>0.46151836483147257</v>
          </cell>
          <cell r="H202">
            <v>0.70124528314585532</v>
          </cell>
          <cell r="I202">
            <v>0.91853717579211591</v>
          </cell>
          <cell r="J202"/>
        </row>
        <row r="203">
          <cell r="A203" t="str">
            <v>D-ITOT_LTH_CHP</v>
          </cell>
          <cell r="B203" t="str">
            <v>VAR_fout</v>
          </cell>
          <cell r="C203" t="str">
            <v>ITOT_LTH_CHP_ON</v>
          </cell>
          <cell r="D203">
            <v>5.6086523148375171</v>
          </cell>
          <cell r="E203">
            <v>6.0095248986634138</v>
          </cell>
          <cell r="F203">
            <v>6.1098885814752766</v>
          </cell>
          <cell r="G203">
            <v>7.710744799748702</v>
          </cell>
          <cell r="H203">
            <v>8.0242203060897292</v>
          </cell>
          <cell r="I203">
            <v>9.7196693339676745</v>
          </cell>
          <cell r="J203"/>
        </row>
        <row r="204">
          <cell r="A204" t="str">
            <v>D-ITOT_LTH_CHP</v>
          </cell>
          <cell r="B204" t="str">
            <v>VAR_fout</v>
          </cell>
          <cell r="C204" t="str">
            <v>LTH</v>
          </cell>
          <cell r="D204"/>
          <cell r="E204">
            <v>1.550961090363074E-4</v>
          </cell>
          <cell r="F204">
            <v>3.3862439189119562E-3</v>
          </cell>
          <cell r="G204">
            <v>3.3598070646730441E-3</v>
          </cell>
          <cell r="H204">
            <v>1.4860140809373616E-2</v>
          </cell>
          <cell r="I204">
            <v>3.2245325348327275E-2</v>
          </cell>
          <cell r="J204"/>
        </row>
        <row r="205">
          <cell r="A205" t="str">
            <v>D-ITOT_LTH_CHP</v>
          </cell>
          <cell r="B205" t="str">
            <v>VAR_fin</v>
          </cell>
          <cell r="C205" t="str">
            <v>ITOT_LTH_CHP</v>
          </cell>
          <cell r="D205">
            <v>5.6086523148375171</v>
          </cell>
          <cell r="E205">
            <v>6.0096799947724504</v>
          </cell>
          <cell r="F205">
            <v>6.1132748253941935</v>
          </cell>
          <cell r="G205">
            <v>7.7141046068133745</v>
          </cell>
          <cell r="H205">
            <v>8.0390804468991046</v>
          </cell>
          <cell r="I205">
            <v>9.7519146593160002</v>
          </cell>
          <cell r="J205"/>
        </row>
        <row r="206">
          <cell r="A206" t="str">
            <v>RHEM-SHCONBR9</v>
          </cell>
          <cell r="B206" t="str">
            <v>VAR_fout</v>
          </cell>
          <cell r="C206" t="str">
            <v>RHEM-SHCON</v>
          </cell>
          <cell r="D206"/>
          <cell r="E206">
            <v>7.5372368398199366E-5</v>
          </cell>
          <cell r="F206">
            <v>8.2405494623549497E-5</v>
          </cell>
          <cell r="G206">
            <v>6.0479073678566518E-5</v>
          </cell>
          <cell r="H206">
            <v>6.4913383915903158E-5</v>
          </cell>
          <cell r="I206">
            <v>5.2762413565407608E-5</v>
          </cell>
          <cell r="J206"/>
          <cell r="K206"/>
        </row>
        <row r="207">
          <cell r="A207" t="str">
            <v>RHEM-SHCONBR9</v>
          </cell>
          <cell r="B207" t="str">
            <v>VAR_fin</v>
          </cell>
          <cell r="C207" t="str">
            <v>CON</v>
          </cell>
          <cell r="D207"/>
          <cell r="E207">
            <v>7.5372368398199366E-5</v>
          </cell>
          <cell r="F207">
            <v>8.2405494623549497E-5</v>
          </cell>
          <cell r="G207">
            <v>6.0479073678566518E-5</v>
          </cell>
          <cell r="H207">
            <v>6.4913383915903158E-5</v>
          </cell>
          <cell r="I207">
            <v>5.2762413565407608E-5</v>
          </cell>
          <cell r="J207"/>
          <cell r="K207"/>
        </row>
        <row r="208">
          <cell r="A208" t="str">
            <v>RHEM-SHCONBR9</v>
          </cell>
          <cell r="B208" t="str">
            <v>VAR_cap</v>
          </cell>
          <cell r="C208" t="str">
            <v>-</v>
          </cell>
          <cell r="D208"/>
          <cell r="E208"/>
          <cell r="F208">
            <v>-2.9682036714492301E-8</v>
          </cell>
          <cell r="G208">
            <v>-3.1987216110636502E-8</v>
          </cell>
          <cell r="H208">
            <v>-6.2640211705475896E-8</v>
          </cell>
          <cell r="I208">
            <v>-1.9018062025641899E-8</v>
          </cell>
          <cell r="J208"/>
          <cell r="K208"/>
        </row>
        <row r="209">
          <cell r="A209" t="str">
            <v>SCOM-SHELCHP</v>
          </cell>
          <cell r="B209" t="str">
            <v>VAR_fout</v>
          </cell>
          <cell r="C209" t="str">
            <v>SCOM-SHAELCH</v>
          </cell>
          <cell r="D209">
            <v>4.2612679668553195</v>
          </cell>
          <cell r="E209">
            <v>4.6176739757618792</v>
          </cell>
          <cell r="F209">
            <v>4.7181790993531028</v>
          </cell>
          <cell r="G209">
            <v>7.3616481240944553</v>
          </cell>
          <cell r="H209">
            <v>11.3167802404216</v>
          </cell>
          <cell r="I209">
            <v>15.25089985330624</v>
          </cell>
          <cell r="J209"/>
        </row>
        <row r="210">
          <cell r="A210" t="str">
            <v>SCOM-SHELCHP</v>
          </cell>
          <cell r="B210" t="str">
            <v>VAR_fin</v>
          </cell>
          <cell r="C210" t="str">
            <v>SCOMELCHPC</v>
          </cell>
          <cell r="D210">
            <v>4.2612679668553195</v>
          </cell>
          <cell r="E210">
            <v>4.6176739757618792</v>
          </cell>
          <cell r="F210">
            <v>4.7181790993531028</v>
          </cell>
          <cell r="G210">
            <v>7.3616481240944553</v>
          </cell>
          <cell r="H210">
            <v>11.3167802404216</v>
          </cell>
          <cell r="I210">
            <v>15.25089985330624</v>
          </cell>
          <cell r="J210"/>
          <cell r="K210"/>
        </row>
        <row r="211">
          <cell r="A211" t="str">
            <v>SCOM-SHELCHP</v>
          </cell>
          <cell r="B211" t="str">
            <v>VAR_fin</v>
          </cell>
          <cell r="C211" t="str">
            <v>SCOM_ELC</v>
          </cell>
          <cell r="D211">
            <v>1.3316462396422868</v>
          </cell>
          <cell r="E211">
            <v>1.4252080172104546</v>
          </cell>
          <cell r="F211">
            <v>1.6584952733930072</v>
          </cell>
          <cell r="G211">
            <v>2.4321287920014383</v>
          </cell>
          <cell r="H211">
            <v>3.4890575411696938</v>
          </cell>
          <cell r="I211">
            <v>4.3952136073097456</v>
          </cell>
          <cell r="J211"/>
          <cell r="K211"/>
        </row>
        <row r="212">
          <cell r="A212" t="str">
            <v>SCOM-SHELCHP</v>
          </cell>
          <cell r="B212" t="str">
            <v>VAR_ncap</v>
          </cell>
          <cell r="C212" t="str">
            <v>-</v>
          </cell>
          <cell r="D212">
            <v>1.0659274135939E-7</v>
          </cell>
          <cell r="E212">
            <v>1.7016502885235799E-7</v>
          </cell>
          <cell r="F212">
            <v>5.0823348749396197E-7</v>
          </cell>
          <cell r="G212">
            <v>0.138458589727156</v>
          </cell>
          <cell r="H212">
            <v>0.30408985622289098</v>
          </cell>
          <cell r="I212">
            <v>0.75679311684283901</v>
          </cell>
          <cell r="J212"/>
          <cell r="K212"/>
        </row>
        <row r="213">
          <cell r="A213" t="str">
            <v>SCOM-SHELCHP</v>
          </cell>
          <cell r="B213" t="str">
            <v>VAR_cap</v>
          </cell>
          <cell r="C213" t="str">
            <v>-</v>
          </cell>
          <cell r="D213">
            <v>0.43061742004652936</v>
          </cell>
          <cell r="E213">
            <v>0.43061575027834775</v>
          </cell>
          <cell r="F213">
            <v>0.43061527334083138</v>
          </cell>
          <cell r="G213">
            <v>0.56907598494994183</v>
          </cell>
          <cell r="H213">
            <v>0.87480051277086357</v>
          </cell>
          <cell r="I213">
            <v>1.1788882148884106</v>
          </cell>
          <cell r="J213"/>
        </row>
        <row r="214">
          <cell r="A214" t="str">
            <v>D-ITOT_NKEV_OIL_ELC_CHP</v>
          </cell>
          <cell r="B214" t="str">
            <v>VAR_fout</v>
          </cell>
          <cell r="C214" t="str">
            <v>ITOT_ELC</v>
          </cell>
          <cell r="D214">
            <v>6.7974328539517972E-2</v>
          </cell>
          <cell r="E214">
            <v>0.16948315032958403</v>
          </cell>
          <cell r="F214">
            <v>2.0947436222919871E-3</v>
          </cell>
          <cell r="G214">
            <v>0.16921978014162942</v>
          </cell>
          <cell r="H214">
            <v>1.7825486666666106E-2</v>
          </cell>
          <cell r="I214">
            <v>0.15730077229936204</v>
          </cell>
          <cell r="J214"/>
          <cell r="K214"/>
        </row>
        <row r="215">
          <cell r="A215" t="str">
            <v>D-ITOT_NKEV_OIL_ELC_CHP</v>
          </cell>
          <cell r="B215" t="str">
            <v>VAR_fout</v>
          </cell>
          <cell r="C215" t="str">
            <v>ELC5</v>
          </cell>
          <cell r="D215">
            <v>2.5375134774494354E-3</v>
          </cell>
          <cell r="E215">
            <v>1.8776786106369538E-3</v>
          </cell>
          <cell r="F215">
            <v>7.2579114227178869E-4</v>
          </cell>
          <cell r="G215">
            <v>1.5728801191616227E-3</v>
          </cell>
          <cell r="H215">
            <v>1.138866921468071E-3</v>
          </cell>
          <cell r="I215">
            <v>1.1266975222112129E-2</v>
          </cell>
          <cell r="J215"/>
        </row>
        <row r="216">
          <cell r="A216" t="str">
            <v>D-ITOT_NKEV_OIL_ELC_CHP</v>
          </cell>
          <cell r="B216" t="str">
            <v>VAR_fin</v>
          </cell>
          <cell r="C216" t="str">
            <v>ITOT_NKEV_OIL_ELC_CHP</v>
          </cell>
          <cell r="D216">
            <v>7.0511842016967391E-2</v>
          </cell>
          <cell r="E216">
            <v>0.17136082894022106</v>
          </cell>
          <cell r="F216">
            <v>2.8041051875315566E-3</v>
          </cell>
          <cell r="G216">
            <v>0.17077588745587385</v>
          </cell>
          <cell r="H216">
            <v>1.893119367064558E-2</v>
          </cell>
          <cell r="I216">
            <v>0.16854402677626179</v>
          </cell>
          <cell r="J216"/>
        </row>
        <row r="217">
          <cell r="A217" t="str">
            <v>RHNS-SHELCBR</v>
          </cell>
          <cell r="B217" t="str">
            <v>VAR_fout</v>
          </cell>
          <cell r="C217" t="str">
            <v>RHNS-SHAELCB</v>
          </cell>
          <cell r="D217"/>
          <cell r="E217">
            <v>6.9069820776319998E-2</v>
          </cell>
          <cell r="F217">
            <v>8.2102107249358916E-3</v>
          </cell>
          <cell r="G217">
            <v>1.7265541368510041E-2</v>
          </cell>
          <cell r="H217">
            <v>2.7881076663148908E-2</v>
          </cell>
          <cell r="I217">
            <v>3.2167141818148122E-2</v>
          </cell>
          <cell r="J217"/>
          <cell r="K217"/>
        </row>
        <row r="218">
          <cell r="A218" t="str">
            <v>RHNS-SHELCBR</v>
          </cell>
          <cell r="B218" t="str">
            <v>VAR_fin</v>
          </cell>
          <cell r="C218" t="str">
            <v>RHNS_ELC</v>
          </cell>
          <cell r="D218"/>
          <cell r="E218">
            <v>7.2705074501389438E-2</v>
          </cell>
          <cell r="F218">
            <v>8.642327078879887E-3</v>
          </cell>
          <cell r="G218">
            <v>1.8174254072115828E-2</v>
          </cell>
          <cell r="H218">
            <v>2.934850175068305E-2</v>
          </cell>
          <cell r="I218">
            <v>3.3860149282261165E-2</v>
          </cell>
          <cell r="J218"/>
        </row>
        <row r="219">
          <cell r="A219" t="str">
            <v>RHNS-SHELCBR</v>
          </cell>
          <cell r="B219" t="str">
            <v>VAR_ncap</v>
          </cell>
          <cell r="C219" t="str">
            <v>-</v>
          </cell>
          <cell r="D219"/>
          <cell r="E219">
            <v>5.1250368539950599E-3</v>
          </cell>
          <cell r="F219"/>
          <cell r="G219"/>
          <cell r="H219"/>
          <cell r="I219"/>
          <cell r="J219"/>
        </row>
        <row r="220">
          <cell r="A220" t="str">
            <v>RHNS-SHELCBR</v>
          </cell>
          <cell r="B220" t="str">
            <v>VAR_cap</v>
          </cell>
          <cell r="C220" t="str">
            <v>-</v>
          </cell>
          <cell r="D220"/>
          <cell r="E220">
            <v>5.1250368539950599E-3</v>
          </cell>
          <cell r="F220">
            <v>5.1217711105769779E-3</v>
          </cell>
          <cell r="G220">
            <v>5.1163123908211398E-3</v>
          </cell>
          <cell r="H220">
            <v>5.716113130180802E-3</v>
          </cell>
          <cell r="I220">
            <v>2.417712243369164E-3</v>
          </cell>
          <cell r="J220"/>
        </row>
        <row r="221">
          <cell r="A221" t="str">
            <v>ITOT-SWHSTG-SOL</v>
          </cell>
          <cell r="B221" t="str">
            <v>VAR_fout</v>
          </cell>
          <cell r="C221" t="str">
            <v>ITOT-SWHASOL</v>
          </cell>
          <cell r="D221">
            <v>3.4882243858297369E-4</v>
          </cell>
          <cell r="E221">
            <v>3.2805852559453843E-4</v>
          </cell>
          <cell r="F221">
            <v>3.6367717217488857E-4</v>
          </cell>
          <cell r="G221">
            <v>3.3745816454747483E-4</v>
          </cell>
          <cell r="H221">
            <v>6.8090901893401695E-4</v>
          </cell>
          <cell r="I221">
            <v>6.6001046651651709E-4</v>
          </cell>
          <cell r="J221"/>
        </row>
        <row r="222">
          <cell r="A222" t="str">
            <v>ITOT-SWHSTG-SOL</v>
          </cell>
          <cell r="B222" t="str">
            <v>VAR_fin</v>
          </cell>
          <cell r="C222" t="str">
            <v>ITOT-SWHASOL</v>
          </cell>
          <cell r="D222">
            <v>3.076503364481884E-4</v>
          </cell>
          <cell r="E222">
            <v>3.2150841843751876E-4</v>
          </cell>
          <cell r="F222">
            <v>3.123691434098201E-4</v>
          </cell>
          <cell r="G222">
            <v>2.905998529580056E-4</v>
          </cell>
          <cell r="H222">
            <v>7.1120252249974245E-4</v>
          </cell>
          <cell r="I222">
            <v>6.2953747926823599E-4</v>
          </cell>
          <cell r="J222"/>
          <cell r="K222"/>
        </row>
        <row r="223">
          <cell r="A223" t="str">
            <v>ITOT-SWHSTG-SOL</v>
          </cell>
          <cell r="B223" t="str">
            <v>VAR_ncap</v>
          </cell>
          <cell r="C223" t="str">
            <v>-</v>
          </cell>
          <cell r="D223">
            <v>1.9875485506022499E-5</v>
          </cell>
          <cell r="E223">
            <v>4.4220776712992297E-8</v>
          </cell>
          <cell r="F223">
            <v>1.4081869583432599E-6</v>
          </cell>
          <cell r="G223">
            <v>1.1181565036546799E-5</v>
          </cell>
          <cell r="H223">
            <v>4.5167505603739699E-5</v>
          </cell>
          <cell r="I223">
            <v>6.2252970817473395E-8</v>
          </cell>
          <cell r="J223"/>
          <cell r="K223"/>
        </row>
        <row r="224">
          <cell r="A224" t="str">
            <v>ITOT-SWHSTG-SOL</v>
          </cell>
          <cell r="B224" t="str">
            <v>VAR_cap</v>
          </cell>
          <cell r="C224" t="str">
            <v>-</v>
          </cell>
          <cell r="D224">
            <v>1.9875485506022499E-5</v>
          </cell>
          <cell r="E224">
            <v>1.99197062827355E-5</v>
          </cell>
          <cell r="F224">
            <v>2.1327893241078699E-5</v>
          </cell>
          <cell r="G224">
            <v>3.25094582776255E-5</v>
          </cell>
          <cell r="H224">
            <v>8.8568496088782504E-5</v>
          </cell>
          <cell r="I224">
            <v>4.7864359984990603E-5</v>
          </cell>
          <cell r="J224"/>
        </row>
        <row r="225">
          <cell r="A225" t="str">
            <v>RHES-SHLTHCHPNGA</v>
          </cell>
          <cell r="B225" t="str">
            <v>VAR_fout</v>
          </cell>
          <cell r="C225" t="str">
            <v>RHES-SHLTHC-NGA</v>
          </cell>
          <cell r="D225">
            <v>3.0606226068726015E-2</v>
          </cell>
          <cell r="E225">
            <v>4.4773333955946222E-3</v>
          </cell>
          <cell r="F225"/>
          <cell r="G225"/>
          <cell r="H225"/>
          <cell r="I225"/>
          <cell r="J225"/>
        </row>
        <row r="226">
          <cell r="A226" t="str">
            <v>RHES-SHLTHCHPNGA</v>
          </cell>
          <cell r="B226" t="str">
            <v>VAR_fin</v>
          </cell>
          <cell r="C226" t="str">
            <v>RHESLTHCHPC</v>
          </cell>
          <cell r="D226">
            <v>3.0606226068726015E-2</v>
          </cell>
          <cell r="E226">
            <v>4.4773333955946222E-3</v>
          </cell>
          <cell r="F226"/>
          <cell r="G226"/>
          <cell r="H226"/>
          <cell r="I226"/>
          <cell r="J226"/>
        </row>
        <row r="227">
          <cell r="A227" t="str">
            <v>RHES-SHLTHCHPNGA</v>
          </cell>
          <cell r="B227" t="str">
            <v>VAR_fin</v>
          </cell>
          <cell r="C227" t="str">
            <v>RHES_LTH_CHPNGA_ON</v>
          </cell>
          <cell r="D227">
            <v>3.0915379867400009E-2</v>
          </cell>
          <cell r="E227">
            <v>4.522558985449108E-3</v>
          </cell>
          <cell r="F227"/>
          <cell r="G227"/>
          <cell r="H227"/>
          <cell r="I227"/>
          <cell r="J227"/>
          <cell r="K227"/>
        </row>
        <row r="228">
          <cell r="A228" t="str">
            <v>RHES-SHLTHCHPNGA</v>
          </cell>
          <cell r="B228" t="str">
            <v>VAR_ncap</v>
          </cell>
          <cell r="C228" t="str">
            <v>-</v>
          </cell>
          <cell r="D228"/>
          <cell r="E228">
            <v>3.43413542561341E-4</v>
          </cell>
          <cell r="F228">
            <v>7.6147294402042305E-4</v>
          </cell>
          <cell r="G228">
            <v>5.8493989288771204E-4</v>
          </cell>
          <cell r="H228">
            <v>1.8421952004464901E-4</v>
          </cell>
          <cell r="I228">
            <v>1.0328561989618799E-4</v>
          </cell>
          <cell r="J228"/>
          <cell r="K228"/>
        </row>
        <row r="229">
          <cell r="A229" t="str">
            <v>RHES-SHLTHCHPNGA</v>
          </cell>
          <cell r="B229" t="str">
            <v>VAR_cap</v>
          </cell>
          <cell r="C229" t="str">
            <v>-</v>
          </cell>
          <cell r="D229">
            <v>5.3757649990155603E-3</v>
          </cell>
          <cell r="E229">
            <v>6.107772471888517E-4</v>
          </cell>
          <cell r="F229">
            <v>1.12454705942486E-3</v>
          </cell>
          <cell r="G229">
            <v>1.0916622423634507E-3</v>
          </cell>
          <cell r="H229">
            <v>3.5056396478638308E-4</v>
          </cell>
          <cell r="I229">
            <v>1.7207563466895199E-4</v>
          </cell>
          <cell r="J229"/>
          <cell r="K229"/>
        </row>
        <row r="230">
          <cell r="A230" t="str">
            <v>RHSA-WHSTG-ELC</v>
          </cell>
          <cell r="B230" t="str">
            <v>VAR_fout</v>
          </cell>
          <cell r="C230" t="str">
            <v>RHSA-WHAELCB</v>
          </cell>
          <cell r="D230">
            <v>1.2669949524951601E-7</v>
          </cell>
          <cell r="E230">
            <v>2.0298957022438922E-6</v>
          </cell>
          <cell r="F230">
            <v>0.64308540723636531</v>
          </cell>
          <cell r="G230">
            <v>0.47926698966562192</v>
          </cell>
          <cell r="H230">
            <v>0.27187168554735208</v>
          </cell>
          <cell r="I230">
            <v>0.16278129219888754</v>
          </cell>
          <cell r="J230"/>
        </row>
        <row r="231">
          <cell r="A231" t="str">
            <v>RHSA-WHSTG-ELC</v>
          </cell>
          <cell r="B231" t="str">
            <v>VAR_fin</v>
          </cell>
          <cell r="C231" t="str">
            <v>RHSA-WHAELCB</v>
          </cell>
          <cell r="D231">
            <v>3.1019766982310314E-5</v>
          </cell>
          <cell r="E231">
            <v>4.5258753988766673E-6</v>
          </cell>
          <cell r="F231">
            <v>0.64310660904838735</v>
          </cell>
          <cell r="G231">
            <v>0.47927707499200001</v>
          </cell>
          <cell r="H231">
            <v>0.27187914904824351</v>
          </cell>
          <cell r="I231">
            <v>0.16278653396369286</v>
          </cell>
          <cell r="J231"/>
        </row>
        <row r="232">
          <cell r="A232" t="str">
            <v>RHSA-WHSTG-ELC</v>
          </cell>
          <cell r="B232" t="str">
            <v>VAR_ncap</v>
          </cell>
          <cell r="C232" t="str">
            <v>-</v>
          </cell>
          <cell r="D232">
            <v>9.5029291593924196E-3</v>
          </cell>
          <cell r="E232">
            <v>0.10170713565689</v>
          </cell>
          <cell r="F232">
            <v>6.5791359760828596E-6</v>
          </cell>
          <cell r="G232">
            <v>1.4487429066497799E-5</v>
          </cell>
          <cell r="H232">
            <v>3.6055496021596502E-2</v>
          </cell>
          <cell r="I232">
            <v>3.03399780383857E-3</v>
          </cell>
          <cell r="J232"/>
        </row>
        <row r="233">
          <cell r="A233" t="str">
            <v>RHSA-WHSTG-ELC</v>
          </cell>
          <cell r="B233" t="str">
            <v>VAR_cap</v>
          </cell>
          <cell r="C233" t="str">
            <v>-</v>
          </cell>
          <cell r="D233">
            <v>9.5038385282811416E-3</v>
          </cell>
          <cell r="E233">
            <v>0.11119847889590337</v>
          </cell>
          <cell r="F233">
            <v>7.7954082602355215E-2</v>
          </cell>
          <cell r="G233">
            <v>6.3225502640755313E-2</v>
          </cell>
          <cell r="H233">
            <v>3.7281711625162438E-2</v>
          </cell>
          <cell r="I233">
            <v>2.9688723366706329E-2</v>
          </cell>
          <cell r="J233"/>
        </row>
        <row r="234">
          <cell r="A234" t="str">
            <v>ITOT-SWHLFOBR</v>
          </cell>
          <cell r="B234" t="str">
            <v>VAR_fout</v>
          </cell>
          <cell r="C234" t="str">
            <v>ITOT-SWH</v>
          </cell>
          <cell r="D234">
            <v>6.9177377416453822</v>
          </cell>
          <cell r="E234">
            <v>6.3117196907671813</v>
          </cell>
          <cell r="F234">
            <v>6.2254282201204854</v>
          </cell>
          <cell r="G234">
            <v>5.0894743055152869</v>
          </cell>
          <cell r="H234">
            <v>2.5803168243092265</v>
          </cell>
          <cell r="I234">
            <v>0.5413746145673145</v>
          </cell>
          <cell r="J234"/>
          <cell r="K234"/>
        </row>
        <row r="235">
          <cell r="A235" t="str">
            <v>ITOT-SWHLFOBR</v>
          </cell>
          <cell r="B235" t="str">
            <v>VAR_fout</v>
          </cell>
          <cell r="C235" t="str">
            <v>CO2_I</v>
          </cell>
          <cell r="D235">
            <v>655.77119503936797</v>
          </cell>
          <cell r="E235">
            <v>597.35695695206698</v>
          </cell>
          <cell r="F235">
            <v>587.76611591236497</v>
          </cell>
          <cell r="G235">
            <v>478.58861363330101</v>
          </cell>
          <cell r="H235">
            <v>240.708610039907</v>
          </cell>
          <cell r="I235">
            <v>50.104086986843598</v>
          </cell>
          <cell r="J235"/>
        </row>
        <row r="236">
          <cell r="A236" t="str">
            <v>ITOT-SWHLFOBR</v>
          </cell>
          <cell r="B236" t="str">
            <v>VAR_fin</v>
          </cell>
          <cell r="C236" t="str">
            <v>ILFO</v>
          </cell>
          <cell r="D236">
            <v>8.8978452515518107</v>
          </cell>
          <cell r="E236">
            <v>8.1052504335422881</v>
          </cell>
          <cell r="F236">
            <v>7.9751169051881341</v>
          </cell>
          <cell r="G236">
            <v>6.4937396693799414</v>
          </cell>
          <cell r="H236">
            <v>3.2660598377192263</v>
          </cell>
          <cell r="I236">
            <v>0.67983835803044113</v>
          </cell>
          <cell r="J236"/>
          <cell r="K236"/>
        </row>
        <row r="237">
          <cell r="A237" t="str">
            <v>ITOT-SWHLFOBR</v>
          </cell>
          <cell r="B237" t="str">
            <v>VAR_ncap</v>
          </cell>
          <cell r="C237" t="str">
            <v>-</v>
          </cell>
          <cell r="D237"/>
          <cell r="E237">
            <v>1.6424805084905601E-2</v>
          </cell>
          <cell r="F237">
            <v>1.26557195030933E-5</v>
          </cell>
          <cell r="G237">
            <v>2.5445273017724901E-5</v>
          </cell>
          <cell r="H237">
            <v>5.1296114877719003E-5</v>
          </cell>
          <cell r="I237">
            <v>8.0307325559261395E-6</v>
          </cell>
          <cell r="J237"/>
          <cell r="K237"/>
        </row>
        <row r="238">
          <cell r="A238" t="str">
            <v>ITOT-SWHLFOBR</v>
          </cell>
          <cell r="B238" t="str">
            <v>VAR_cap</v>
          </cell>
          <cell r="C238" t="str">
            <v>-</v>
          </cell>
          <cell r="D238">
            <v>0.37633543963083199</v>
          </cell>
          <cell r="E238">
            <v>0.39275664965785967</v>
          </cell>
          <cell r="F238">
            <v>0.39272377636492972</v>
          </cell>
          <cell r="G238">
            <v>0.39267412655765027</v>
          </cell>
          <cell r="H238">
            <v>0.15668643704253832</v>
          </cell>
          <cell r="I238">
            <v>5.3394287552167102E-2</v>
          </cell>
          <cell r="J238"/>
          <cell r="K238"/>
        </row>
        <row r="239">
          <cell r="A239" t="str">
            <v>D-SCOM_LTH_CHPNGA</v>
          </cell>
          <cell r="B239" t="str">
            <v>VAR_fout</v>
          </cell>
          <cell r="C239" t="str">
            <v>LTH</v>
          </cell>
          <cell r="D239"/>
          <cell r="E239">
            <v>8.462605026841093E-6</v>
          </cell>
          <cell r="F239"/>
          <cell r="G239"/>
          <cell r="H239"/>
          <cell r="I239"/>
          <cell r="J239"/>
          <cell r="K239"/>
        </row>
        <row r="240">
          <cell r="A240" t="str">
            <v>D-SCOM_LTH_CHPNGA</v>
          </cell>
          <cell r="B240" t="str">
            <v>VAR_fout</v>
          </cell>
          <cell r="C240" t="str">
            <v>SCOM_LTH_CHPNGA_ON</v>
          </cell>
          <cell r="D240">
            <v>0.69258110160499065</v>
          </cell>
          <cell r="E240">
            <v>0.75019858583765331</v>
          </cell>
          <cell r="F240"/>
          <cell r="G240"/>
          <cell r="H240"/>
          <cell r="I240"/>
          <cell r="J240"/>
          <cell r="K240"/>
        </row>
        <row r="241">
          <cell r="A241" t="str">
            <v>D-SCOM_LTH_CHPNGA</v>
          </cell>
          <cell r="B241" t="str">
            <v>VAR_fin</v>
          </cell>
          <cell r="C241" t="str">
            <v>SCOM_LTH_CHPNGA</v>
          </cell>
          <cell r="D241">
            <v>0.69258110160499065</v>
          </cell>
          <cell r="E241">
            <v>0.75020704844268016</v>
          </cell>
          <cell r="F241"/>
          <cell r="G241"/>
          <cell r="H241"/>
          <cell r="I241"/>
          <cell r="J241"/>
        </row>
        <row r="242">
          <cell r="A242" t="str">
            <v>D-IWOD</v>
          </cell>
          <cell r="B242" t="str">
            <v>VAR_fout</v>
          </cell>
          <cell r="C242" t="str">
            <v>IWOD</v>
          </cell>
          <cell r="D242">
            <v>9.8748375439101697</v>
          </cell>
          <cell r="E242">
            <v>12.920002908717725</v>
          </cell>
          <cell r="F242">
            <v>14.341623462508524</v>
          </cell>
          <cell r="G242">
            <v>14.513401110539219</v>
          </cell>
          <cell r="H242">
            <v>18.029381937109378</v>
          </cell>
          <cell r="I242">
            <v>19.985124955850058</v>
          </cell>
          <cell r="J242"/>
          <cell r="K242"/>
        </row>
        <row r="243">
          <cell r="A243" t="str">
            <v>D-IWOD</v>
          </cell>
          <cell r="B243" t="str">
            <v>VAR_fin</v>
          </cell>
          <cell r="C243" t="str">
            <v>WOD</v>
          </cell>
          <cell r="D243">
            <v>9.8748375439101697</v>
          </cell>
          <cell r="E243">
            <v>12.920002908717725</v>
          </cell>
          <cell r="F243">
            <v>14.341623462508524</v>
          </cell>
          <cell r="G243">
            <v>14.513401110539219</v>
          </cell>
          <cell r="H243">
            <v>18.029381937109378</v>
          </cell>
          <cell r="I243">
            <v>19.985124955850058</v>
          </cell>
          <cell r="J243"/>
          <cell r="K243"/>
        </row>
        <row r="244">
          <cell r="A244" t="str">
            <v>SCOM-ELCSPEC</v>
          </cell>
          <cell r="B244" t="str">
            <v>VAR_fout</v>
          </cell>
          <cell r="C244" t="str">
            <v>SCOM-ELS</v>
          </cell>
          <cell r="D244">
            <v>56.994774574912441</v>
          </cell>
          <cell r="E244">
            <v>58.701894762075916</v>
          </cell>
          <cell r="F244">
            <v>45.224162513480671</v>
          </cell>
          <cell r="G244">
            <v>44.426648466748112</v>
          </cell>
          <cell r="H244">
            <v>42.948956192101846</v>
          </cell>
          <cell r="I244">
            <v>40.450738544576424</v>
          </cell>
          <cell r="J244"/>
          <cell r="K244"/>
        </row>
        <row r="245">
          <cell r="A245" t="str">
            <v>SCOM-ELCSPEC</v>
          </cell>
          <cell r="B245" t="str">
            <v>VAR_fin</v>
          </cell>
          <cell r="C245" t="str">
            <v>SCOM_ELC</v>
          </cell>
          <cell r="D245">
            <v>56.994774574912441</v>
          </cell>
          <cell r="E245">
            <v>58.701894762075916</v>
          </cell>
          <cell r="F245">
            <v>45.224162513480671</v>
          </cell>
          <cell r="G245">
            <v>44.426648466748112</v>
          </cell>
          <cell r="H245">
            <v>42.948956192101846</v>
          </cell>
          <cell r="I245">
            <v>40.450738544576424</v>
          </cell>
          <cell r="J245"/>
        </row>
        <row r="246">
          <cell r="A246" t="str">
            <v>SCOM-ELCSPEC</v>
          </cell>
          <cell r="B246" t="str">
            <v>VAR_ncap</v>
          </cell>
          <cell r="C246" t="str">
            <v>-</v>
          </cell>
          <cell r="D246">
            <v>2.22578673775621E-7</v>
          </cell>
          <cell r="E246">
            <v>9.0890382565153096E-7</v>
          </cell>
          <cell r="F246">
            <v>1.0534580709400301E-6</v>
          </cell>
          <cell r="G246">
            <v>9.9103807152793092E-7</v>
          </cell>
          <cell r="H246">
            <v>2.2420878248524201E-6</v>
          </cell>
          <cell r="I246">
            <v>3.8723634912894398</v>
          </cell>
          <cell r="J246"/>
          <cell r="K246"/>
        </row>
        <row r="247">
          <cell r="A247" t="str">
            <v>SCOM-ELCSPEC</v>
          </cell>
          <cell r="B247" t="str">
            <v>VAR_cap</v>
          </cell>
          <cell r="C247" t="str">
            <v>-</v>
          </cell>
          <cell r="D247">
            <v>6.6055314909325338</v>
          </cell>
          <cell r="E247">
            <v>6.2047511579222192</v>
          </cell>
          <cell r="F247">
            <v>4.7801654260377404</v>
          </cell>
          <cell r="G247">
            <v>4.6958675282677822</v>
          </cell>
          <cell r="H247">
            <v>4.5396776340454945</v>
          </cell>
          <cell r="I247">
            <v>4.2756141596790851</v>
          </cell>
          <cell r="J247"/>
          <cell r="K247"/>
        </row>
        <row r="248">
          <cell r="A248" t="str">
            <v>D-ITOT_KEV_WST_ELC_CHP</v>
          </cell>
          <cell r="B248" t="str">
            <v>VAR_fout</v>
          </cell>
          <cell r="C248" t="str">
            <v>ITOT_ELC</v>
          </cell>
          <cell r="D248">
            <v>9.7795123846968163E-4</v>
          </cell>
          <cell r="E248">
            <v>3.493289715377181E-4</v>
          </cell>
          <cell r="F248">
            <v>6.7937635102489967E-4</v>
          </cell>
          <cell r="G248">
            <v>0.32809917969781477</v>
          </cell>
          <cell r="H248">
            <v>0.29383342688001024</v>
          </cell>
          <cell r="I248">
            <v>0.2817733050421608</v>
          </cell>
          <cell r="J248"/>
        </row>
        <row r="249">
          <cell r="A249" t="str">
            <v>D-ITOT_KEV_WST_ELC_CHP</v>
          </cell>
          <cell r="B249" t="str">
            <v>VAR_fout</v>
          </cell>
          <cell r="C249" t="str">
            <v>ELC5</v>
          </cell>
          <cell r="D249">
            <v>0.22907939701256214</v>
          </cell>
          <cell r="E249">
            <v>0.22981128346551746</v>
          </cell>
          <cell r="F249">
            <v>0.33604687934767552</v>
          </cell>
          <cell r="G249">
            <v>4.8697553466373403E-3</v>
          </cell>
          <cell r="H249">
            <v>3.3726527908553225E-2</v>
          </cell>
          <cell r="I249">
            <v>4.2453821730601388E-2</v>
          </cell>
          <cell r="J249"/>
        </row>
        <row r="250">
          <cell r="A250" t="str">
            <v>D-ITOT_KEV_WST_ELC_CHP</v>
          </cell>
          <cell r="B250" t="str">
            <v>VAR_fin</v>
          </cell>
          <cell r="C250" t="str">
            <v>ITOT_KEV_WST_ELC_CHP</v>
          </cell>
          <cell r="D250">
            <v>0.23005734825103194</v>
          </cell>
          <cell r="E250">
            <v>0.23016061243705532</v>
          </cell>
          <cell r="F250">
            <v>0.33670874936626743</v>
          </cell>
          <cell r="G250">
            <v>0.33294980798623131</v>
          </cell>
          <cell r="H250">
            <v>0.32752692353389001</v>
          </cell>
          <cell r="I250">
            <v>0.32420354638698484</v>
          </cell>
          <cell r="J250"/>
        </row>
        <row r="251">
          <cell r="A251" t="str">
            <v>D-RHNM_SOLELC</v>
          </cell>
          <cell r="B251" t="str">
            <v>VAR_fout</v>
          </cell>
          <cell r="C251" t="str">
            <v>ELC5</v>
          </cell>
          <cell r="D251"/>
          <cell r="E251">
            <v>1.7410089993766577E-5</v>
          </cell>
          <cell r="F251">
            <v>0.90315051013415037</v>
          </cell>
          <cell r="G251">
            <v>1.0159022444748824</v>
          </cell>
          <cell r="H251">
            <v>1.0916368811959465</v>
          </cell>
          <cell r="I251">
            <v>1.146004745438052</v>
          </cell>
          <cell r="J251"/>
        </row>
        <row r="252">
          <cell r="A252" t="str">
            <v>D-RHNM_SOLELC</v>
          </cell>
          <cell r="B252" t="str">
            <v>VAR_fout</v>
          </cell>
          <cell r="C252" t="str">
            <v>RHNM_ELC</v>
          </cell>
          <cell r="D252"/>
          <cell r="E252">
            <v>1.7442173142029729E-5</v>
          </cell>
          <cell r="F252">
            <v>0.78805889349482938</v>
          </cell>
          <cell r="G252">
            <v>0.8836993975854649</v>
          </cell>
          <cell r="H252">
            <v>0.98917790396548932</v>
          </cell>
          <cell r="I252">
            <v>1.0702554820763071</v>
          </cell>
          <cell r="J252"/>
          <cell r="K252"/>
        </row>
        <row r="253">
          <cell r="A253" t="str">
            <v>D-RHNM_SOLELC</v>
          </cell>
          <cell r="B253" t="str">
            <v>VAR_fin</v>
          </cell>
          <cell r="C253" t="str">
            <v>RHNM_SOL_ELC</v>
          </cell>
          <cell r="D253"/>
          <cell r="E253">
            <v>3.2073209388496494E-5</v>
          </cell>
          <cell r="F253">
            <v>1.6912094036289798</v>
          </cell>
          <cell r="G253">
            <v>1.8996016420603481</v>
          </cell>
          <cell r="H253">
            <v>2.0808147851614351</v>
          </cell>
          <cell r="I253">
            <v>2.2162602275143604</v>
          </cell>
          <cell r="J253"/>
          <cell r="K253"/>
        </row>
        <row r="254">
          <cell r="A254" t="str">
            <v>RHNM-SHSTG-ELCHP</v>
          </cell>
          <cell r="B254" t="str">
            <v>VAR_fout</v>
          </cell>
          <cell r="C254" t="str">
            <v>RHNM-SHAELCH</v>
          </cell>
          <cell r="D254"/>
          <cell r="E254">
            <v>5.77900088015551E-6</v>
          </cell>
          <cell r="F254">
            <v>0.15807990656897528</v>
          </cell>
          <cell r="G254">
            <v>0.33193995100440365</v>
          </cell>
          <cell r="H254">
            <v>0.5056897320352316</v>
          </cell>
          <cell r="I254">
            <v>0.57715424452900832</v>
          </cell>
          <cell r="J254"/>
          <cell r="K254"/>
        </row>
        <row r="255">
          <cell r="A255" t="str">
            <v>RHNM-SHSTG-ELCHP</v>
          </cell>
          <cell r="B255" t="str">
            <v>VAR_fin</v>
          </cell>
          <cell r="C255" t="str">
            <v>RHNM-SHAELCH</v>
          </cell>
          <cell r="D255"/>
          <cell r="E255">
            <v>1.8800845612787024E-5</v>
          </cell>
          <cell r="F255">
            <v>0.1580883440930852</v>
          </cell>
          <cell r="G255">
            <v>0.33196098553388248</v>
          </cell>
          <cell r="H255">
            <v>0.50573259428588158</v>
          </cell>
          <cell r="I255">
            <v>0.57720190194269383</v>
          </cell>
          <cell r="J255"/>
        </row>
        <row r="256">
          <cell r="A256" t="str">
            <v>RHNM-SHSTG-ELCHP</v>
          </cell>
          <cell r="B256" t="str">
            <v>VAR_ncap</v>
          </cell>
          <cell r="C256" t="str">
            <v>-</v>
          </cell>
          <cell r="D256">
            <v>1.8339547043967601E-5</v>
          </cell>
          <cell r="E256">
            <v>2.5545245537200401E-5</v>
          </cell>
          <cell r="F256">
            <v>1.6638682696914899E-2</v>
          </cell>
          <cell r="G256">
            <v>1.3857941877679801E-2</v>
          </cell>
          <cell r="H256">
            <v>2.5601780410580099E-2</v>
          </cell>
          <cell r="I256">
            <v>3.6479409611496601E-2</v>
          </cell>
          <cell r="J256"/>
        </row>
        <row r="257">
          <cell r="A257" t="str">
            <v>RHNM-SHSTG-ELCHP</v>
          </cell>
          <cell r="B257" t="str">
            <v>VAR_cap</v>
          </cell>
          <cell r="C257" t="str">
            <v>-</v>
          </cell>
          <cell r="D257">
            <v>1.8339547043967601E-5</v>
          </cell>
          <cell r="E257">
            <v>2.6013544685443304E-5</v>
          </cell>
          <cell r="F257">
            <v>1.6655772833952691E-2</v>
          </cell>
          <cell r="G257">
            <v>3.0501988481853155E-2</v>
          </cell>
          <cell r="H257">
            <v>4.7521455194043903E-2</v>
          </cell>
          <cell r="I257">
            <v>5.9066038543590382E-2</v>
          </cell>
          <cell r="J257"/>
          <cell r="K257"/>
        </row>
        <row r="258">
          <cell r="A258" t="str">
            <v>D-SCOM_LTH</v>
          </cell>
          <cell r="B258" t="str">
            <v>VAR_fout</v>
          </cell>
          <cell r="C258" t="str">
            <v>SCOM_LTH_DH</v>
          </cell>
          <cell r="D258">
            <v>5.6100060039930773</v>
          </cell>
          <cell r="E258">
            <v>6.0767049657482319</v>
          </cell>
          <cell r="F258">
            <v>5.9724310178058841</v>
          </cell>
          <cell r="G258">
            <v>6.9388697433061797</v>
          </cell>
          <cell r="H258">
            <v>7.8909819168933808</v>
          </cell>
          <cell r="I258">
            <v>8.3851592269940767</v>
          </cell>
          <cell r="J258"/>
        </row>
        <row r="259">
          <cell r="A259" t="str">
            <v>D-SCOM_LTH</v>
          </cell>
          <cell r="B259" t="str">
            <v>VAR_fin</v>
          </cell>
          <cell r="C259" t="str">
            <v>LTH</v>
          </cell>
          <cell r="D259">
            <v>6.0987822607958986</v>
          </cell>
          <cell r="E259">
            <v>6.6044065684186668</v>
          </cell>
          <cell r="F259">
            <v>6.4885195694343905</v>
          </cell>
          <cell r="G259">
            <v>7.5335222095154908</v>
          </cell>
          <cell r="H259">
            <v>8.5559979150563343</v>
          </cell>
          <cell r="I259">
            <v>9.079918830013515</v>
          </cell>
          <cell r="J259"/>
          <cell r="K259"/>
        </row>
        <row r="260">
          <cell r="A260" t="str">
            <v>D-SCOM_LTH</v>
          </cell>
          <cell r="B260" t="str">
            <v>VAR_ncap</v>
          </cell>
          <cell r="C260" t="str">
            <v>-</v>
          </cell>
          <cell r="D260">
            <v>0.84970006320133296</v>
          </cell>
          <cell r="E260">
            <v>4.3229671431621098E-8</v>
          </cell>
          <cell r="F260">
            <v>4.9622099162726002E-8</v>
          </cell>
          <cell r="G260">
            <v>5.7553939351773098E-8</v>
          </cell>
          <cell r="H260">
            <v>1.07405668670739E-7</v>
          </cell>
          <cell r="I260">
            <v>1.6803125609709899E-7</v>
          </cell>
          <cell r="J260"/>
          <cell r="K260"/>
        </row>
        <row r="261">
          <cell r="A261" t="str">
            <v>D-SCOM_LTH</v>
          </cell>
          <cell r="B261" t="str">
            <v>VAR_cap</v>
          </cell>
          <cell r="C261" t="str">
            <v>-</v>
          </cell>
          <cell r="D261">
            <v>0.84970006320133296</v>
          </cell>
          <cell r="E261">
            <v>0.84970010643100402</v>
          </cell>
          <cell r="F261">
            <v>0.84970015605310301</v>
          </cell>
          <cell r="G261">
            <v>0.84970021360704295</v>
          </cell>
          <cell r="H261">
            <v>0.84970040645303702</v>
          </cell>
          <cell r="I261">
            <v>0.84970057448429304</v>
          </cell>
          <cell r="J261"/>
          <cell r="K261"/>
        </row>
        <row r="262">
          <cell r="A262" t="str">
            <v>ITOT-SWHBIOBR</v>
          </cell>
          <cell r="B262" t="str">
            <v>VAR_fout</v>
          </cell>
          <cell r="C262" t="str">
            <v>ITOT-SWH</v>
          </cell>
          <cell r="D262">
            <v>0.31053748073990239</v>
          </cell>
          <cell r="E262">
            <v>0.39252467975678951</v>
          </cell>
          <cell r="F262">
            <v>1.9267032736491789</v>
          </cell>
          <cell r="G262">
            <v>3.95454270985431</v>
          </cell>
          <cell r="H262">
            <v>4.5636960063918588</v>
          </cell>
          <cell r="I262">
            <v>8.0214024576917335</v>
          </cell>
          <cell r="J262"/>
          <cell r="K262"/>
        </row>
        <row r="263">
          <cell r="A263" t="str">
            <v>ITOT-SWHBIOBR</v>
          </cell>
          <cell r="B263" t="str">
            <v>VAR_fin</v>
          </cell>
          <cell r="C263" t="str">
            <v>IBIO</v>
          </cell>
          <cell r="D263">
            <v>0.43676157628678225</v>
          </cell>
          <cell r="E263">
            <v>0.55207409248493622</v>
          </cell>
          <cell r="F263">
            <v>2.7098498926148737</v>
          </cell>
          <cell r="G263">
            <v>5.5619447395981858</v>
          </cell>
          <cell r="H263">
            <v>6.4187004309308904</v>
          </cell>
          <cell r="I263">
            <v>11.140836746794079</v>
          </cell>
          <cell r="J263"/>
        </row>
        <row r="264">
          <cell r="A264" t="str">
            <v>ITOT-SWHBIOBR</v>
          </cell>
          <cell r="B264" t="str">
            <v>VAR_ncap</v>
          </cell>
          <cell r="C264" t="str">
            <v>-</v>
          </cell>
          <cell r="D264"/>
          <cell r="E264">
            <v>1.6922714846757201E-2</v>
          </cell>
          <cell r="F264">
            <v>7.3642067019693794E-2</v>
          </cell>
          <cell r="G264">
            <v>0.110414845888434</v>
          </cell>
          <cell r="H264">
            <v>9.48158074674849E-2</v>
          </cell>
          <cell r="I264">
            <v>0.424874950459803</v>
          </cell>
          <cell r="J264"/>
        </row>
        <row r="265">
          <cell r="A265" t="str">
            <v>ITOT-SWHBIOBR</v>
          </cell>
          <cell r="B265" t="str">
            <v>VAR_cap</v>
          </cell>
          <cell r="C265" t="str">
            <v>-</v>
          </cell>
          <cell r="D265">
            <v>1.7013611085743299E-2</v>
          </cell>
          <cell r="E265">
            <v>3.3932092713885788E-2</v>
          </cell>
          <cell r="F265">
            <v>0.10756753836498074</v>
          </cell>
          <cell r="G265">
            <v>0.21797666123010262</v>
          </cell>
          <cell r="H265">
            <v>0.29844650553819374</v>
          </cell>
          <cell r="I265">
            <v>0.54240194765149663</v>
          </cell>
          <cell r="J265"/>
        </row>
        <row r="266">
          <cell r="A266" t="str">
            <v>RHNS-SHPLTBR</v>
          </cell>
          <cell r="B266" t="str">
            <v>VAR_fout</v>
          </cell>
          <cell r="C266" t="str">
            <v>RHNS-SHPLT</v>
          </cell>
          <cell r="D266"/>
          <cell r="E266"/>
          <cell r="F266">
            <v>2.7494190894963499E-3</v>
          </cell>
          <cell r="G266">
            <v>6.4584728470068343E-3</v>
          </cell>
          <cell r="H266">
            <v>1.2049822159170756E-2</v>
          </cell>
          <cell r="I266">
            <v>1.8637434129316288E-2</v>
          </cell>
          <cell r="J266"/>
        </row>
        <row r="267">
          <cell r="A267" t="str">
            <v>RHNS-SHPLTBR</v>
          </cell>
          <cell r="B267" t="str">
            <v>VAR_fin</v>
          </cell>
          <cell r="C267" t="str">
            <v>RPLT</v>
          </cell>
          <cell r="D267"/>
          <cell r="E267"/>
          <cell r="F267">
            <v>3.6974609798812006E-3</v>
          </cell>
          <cell r="G267">
            <v>8.6484091984527899E-3</v>
          </cell>
          <cell r="H267">
            <v>1.6056940671103928E-2</v>
          </cell>
          <cell r="I267">
            <v>2.4799449717694717E-2</v>
          </cell>
          <cell r="J267"/>
        </row>
        <row r="268">
          <cell r="A268" t="str">
            <v>RHNS-SHPLTBR</v>
          </cell>
          <cell r="B268" t="str">
            <v>VAR_ncap</v>
          </cell>
          <cell r="C268" t="str">
            <v>-</v>
          </cell>
          <cell r="D268"/>
          <cell r="E268">
            <v>1.3822445137504999E-7</v>
          </cell>
          <cell r="F268">
            <v>2.31012852849787E-4</v>
          </cell>
          <cell r="G268">
            <v>2.9377305534191301E-4</v>
          </cell>
          <cell r="H268">
            <v>4.7840506797850802E-4</v>
          </cell>
          <cell r="I268">
            <v>9.5212887431510101E-4</v>
          </cell>
          <cell r="J268"/>
        </row>
        <row r="269">
          <cell r="A269" t="str">
            <v>RHNS-SHPLTBR</v>
          </cell>
          <cell r="B269" t="str">
            <v>VAR_cap</v>
          </cell>
          <cell r="C269" t="str">
            <v>-</v>
          </cell>
          <cell r="D269"/>
          <cell r="E269">
            <v>1.3822445137504999E-7</v>
          </cell>
          <cell r="F269">
            <v>2.3104537542537241E-4</v>
          </cell>
          <cell r="G269">
            <v>5.2451724597198926E-4</v>
          </cell>
          <cell r="H269">
            <v>8.9837139724314411E-4</v>
          </cell>
          <cell r="I269">
            <v>1.3748206815985642E-3</v>
          </cell>
          <cell r="J269"/>
        </row>
        <row r="270">
          <cell r="A270" t="str">
            <v>D-RHNM_KEV_WOD_ELC_CHP</v>
          </cell>
          <cell r="B270" t="str">
            <v>VAR_fout</v>
          </cell>
          <cell r="C270" t="str">
            <v>ELC5</v>
          </cell>
          <cell r="D270"/>
          <cell r="E270"/>
          <cell r="F270"/>
          <cell r="G270">
            <v>7.0769317015481256E-4</v>
          </cell>
          <cell r="H270">
            <v>4.3627403358994919E-4</v>
          </cell>
          <cell r="I270">
            <v>2.4151212212714291E-4</v>
          </cell>
          <cell r="J270"/>
          <cell r="K270"/>
        </row>
        <row r="271">
          <cell r="A271" t="str">
            <v>D-RHNM_KEV_WOD_ELC_CHP</v>
          </cell>
          <cell r="B271" t="str">
            <v>VAR_fout</v>
          </cell>
          <cell r="C271" t="str">
            <v>RHNM_ELC</v>
          </cell>
          <cell r="D271"/>
          <cell r="E271"/>
          <cell r="F271"/>
          <cell r="G271">
            <v>2.4968096539415492E-4</v>
          </cell>
          <cell r="H271">
            <v>4.3580054968327142E-4</v>
          </cell>
          <cell r="I271">
            <v>2.4128828090604177E-4</v>
          </cell>
          <cell r="J271"/>
          <cell r="K271"/>
        </row>
        <row r="272">
          <cell r="A272" t="str">
            <v>D-RHNM_KEV_WOD_ELC_CHP</v>
          </cell>
          <cell r="B272" t="str">
            <v>VAR_fin</v>
          </cell>
          <cell r="C272" t="str">
            <v>RHNM_KEV_WOD_ELC_CHP</v>
          </cell>
          <cell r="D272"/>
          <cell r="E272"/>
          <cell r="F272"/>
          <cell r="G272">
            <v>9.429897634587864E-4</v>
          </cell>
          <cell r="H272">
            <v>8.5599552251508612E-4</v>
          </cell>
          <cell r="I272">
            <v>4.701680535137295E-4</v>
          </cell>
          <cell r="J272"/>
          <cell r="K272"/>
        </row>
        <row r="273">
          <cell r="A273" t="str">
            <v>SCOM-SHLTHCHPNGA</v>
          </cell>
          <cell r="B273" t="str">
            <v>VAR_fout</v>
          </cell>
          <cell r="C273" t="str">
            <v>SCOM-SHLTHC-NGA</v>
          </cell>
          <cell r="D273">
            <v>0.68565529058894048</v>
          </cell>
          <cell r="E273">
            <v>0.74269659997927739</v>
          </cell>
          <cell r="F273"/>
          <cell r="G273"/>
          <cell r="H273"/>
          <cell r="I273"/>
          <cell r="J273"/>
          <cell r="K273"/>
        </row>
        <row r="274">
          <cell r="A274" t="str">
            <v>SCOM-SHLTHCHPNGA</v>
          </cell>
          <cell r="B274" t="str">
            <v>VAR_fin</v>
          </cell>
          <cell r="C274" t="str">
            <v>SCOMLTHCHPC</v>
          </cell>
          <cell r="D274">
            <v>0.68565529058894048</v>
          </cell>
          <cell r="E274">
            <v>0.74269659997927739</v>
          </cell>
          <cell r="F274"/>
          <cell r="G274"/>
          <cell r="H274"/>
          <cell r="I274"/>
          <cell r="J274"/>
          <cell r="K274"/>
        </row>
        <row r="275">
          <cell r="A275" t="str">
            <v>SCOM-SHLTHCHPNGA</v>
          </cell>
          <cell r="B275" t="str">
            <v>VAR_fin</v>
          </cell>
          <cell r="C275" t="str">
            <v>SCOM_LTH_CHPNGA_ON</v>
          </cell>
          <cell r="D275">
            <v>0.69258110160499065</v>
          </cell>
          <cell r="E275">
            <v>0.75019858583765331</v>
          </cell>
          <cell r="F275"/>
          <cell r="G275"/>
          <cell r="H275"/>
          <cell r="I275"/>
          <cell r="J275"/>
          <cell r="K275"/>
        </row>
        <row r="276">
          <cell r="A276" t="str">
            <v>SCOM-SHLTHCHPNGA</v>
          </cell>
          <cell r="B276" t="str">
            <v>VAR_ncap</v>
          </cell>
          <cell r="C276" t="str">
            <v>-</v>
          </cell>
          <cell r="D276">
            <v>1.1511668478611E-7</v>
          </cell>
          <cell r="E276">
            <v>1.8423697594057899E-2</v>
          </cell>
          <cell r="F276">
            <v>1.65683803487139E-3</v>
          </cell>
          <cell r="G276">
            <v>1.7374148342092801E-3</v>
          </cell>
          <cell r="H276">
            <v>1.4514902564659901E-3</v>
          </cell>
          <cell r="I276">
            <v>0.100564123741714</v>
          </cell>
          <cell r="J276"/>
          <cell r="K276"/>
        </row>
        <row r="277">
          <cell r="A277" t="str">
            <v>SCOM-SHLTHCHPNGA</v>
          </cell>
          <cell r="B277" t="str">
            <v>VAR_cap</v>
          </cell>
          <cell r="C277" t="str">
            <v>-</v>
          </cell>
          <cell r="D277">
            <v>7.5969384075211685E-2</v>
          </cell>
          <cell r="E277">
            <v>5.7388482921428702E-2</v>
          </cell>
          <cell r="F277">
            <v>3.0303226676728079E-3</v>
          </cell>
          <cell r="G277">
            <v>3.1474028728593062E-3</v>
          </cell>
          <cell r="H277">
            <v>2.3798144380226399E-3</v>
          </cell>
          <cell r="I277">
            <v>0.10124019888662195</v>
          </cell>
          <cell r="J277"/>
          <cell r="K277"/>
        </row>
        <row r="278">
          <cell r="A278" t="str">
            <v>ITOT-PROCESSCO2</v>
          </cell>
          <cell r="B278" t="str">
            <v>VAR_fout</v>
          </cell>
          <cell r="C278" t="str">
            <v>CO2</v>
          </cell>
          <cell r="D278">
            <v>2089.34680048464</v>
          </cell>
          <cell r="E278">
            <v>2111.0131698740802</v>
          </cell>
          <cell r="F278">
            <v>2102.26947106126</v>
          </cell>
          <cell r="G278">
            <v>2093.6570624126398</v>
          </cell>
          <cell r="H278">
            <v>2077.4128471263102</v>
          </cell>
          <cell r="I278">
            <v>2063.74855625499</v>
          </cell>
          <cell r="J278"/>
        </row>
        <row r="279">
          <cell r="A279" t="str">
            <v>ITOT-PROCESSCO2</v>
          </cell>
          <cell r="B279" t="str">
            <v>VAR_fout</v>
          </cell>
          <cell r="C279" t="str">
            <v>CO2P</v>
          </cell>
          <cell r="D279">
            <v>2089.34680048464</v>
          </cell>
          <cell r="E279">
            <v>2111.0131698740802</v>
          </cell>
          <cell r="F279">
            <v>2102.26947106126</v>
          </cell>
          <cell r="G279">
            <v>2093.6570624126398</v>
          </cell>
          <cell r="H279">
            <v>2077.4128471263102</v>
          </cell>
          <cell r="I279">
            <v>2063.74855625499</v>
          </cell>
          <cell r="J279"/>
          <cell r="K279"/>
        </row>
        <row r="280">
          <cell r="A280" t="str">
            <v>RHNM-SHWODBR</v>
          </cell>
          <cell r="B280" t="str">
            <v>VAR_fout</v>
          </cell>
          <cell r="C280" t="str">
            <v>RHNM-SHWOD</v>
          </cell>
          <cell r="D280"/>
          <cell r="E280">
            <v>8.1147227697545551E-2</v>
          </cell>
          <cell r="F280">
            <v>0.10337032168550184</v>
          </cell>
          <cell r="G280">
            <v>0.17060730373086788</v>
          </cell>
          <cell r="H280">
            <v>0.27657323472405138</v>
          </cell>
          <cell r="I280">
            <v>0.36180515334932239</v>
          </cell>
          <cell r="J280"/>
          <cell r="K280"/>
        </row>
        <row r="281">
          <cell r="A281" t="str">
            <v>RHNM-SHWODBR</v>
          </cell>
          <cell r="B281" t="str">
            <v>VAR_fin</v>
          </cell>
          <cell r="C281" t="str">
            <v>RHNMWODBRC</v>
          </cell>
          <cell r="D281"/>
          <cell r="E281">
            <v>8.1147227697545551E-2</v>
          </cell>
          <cell r="F281">
            <v>0.10337032168550184</v>
          </cell>
          <cell r="G281">
            <v>0.17060730373086788</v>
          </cell>
          <cell r="H281">
            <v>0.27657323472405138</v>
          </cell>
          <cell r="I281">
            <v>0.36180515334932239</v>
          </cell>
          <cell r="J281"/>
        </row>
        <row r="282">
          <cell r="A282" t="str">
            <v>RHNM-SHWODBR</v>
          </cell>
          <cell r="B282" t="str">
            <v>VAR_fin</v>
          </cell>
          <cell r="C282" t="str">
            <v>RWOD</v>
          </cell>
          <cell r="D282"/>
          <cell r="E282">
            <v>0.11270448291325764</v>
          </cell>
          <cell r="F282">
            <v>0.13921944589303664</v>
          </cell>
          <cell r="G282">
            <v>0.22901066267681161</v>
          </cell>
          <cell r="H282">
            <v>0.36929902145283966</v>
          </cell>
          <cell r="I282">
            <v>0.48310636140120961</v>
          </cell>
          <cell r="J282"/>
          <cell r="K282"/>
        </row>
        <row r="283">
          <cell r="A283" t="str">
            <v>RHNM-SHWODBR</v>
          </cell>
          <cell r="B283" t="str">
            <v>VAR_ncap</v>
          </cell>
          <cell r="C283" t="str">
            <v>-</v>
          </cell>
          <cell r="D283"/>
          <cell r="E283">
            <v>6.33891912957952E-3</v>
          </cell>
          <cell r="F283">
            <v>6.9392280191118002E-3</v>
          </cell>
          <cell r="G283"/>
          <cell r="H283"/>
          <cell r="I283"/>
          <cell r="J283"/>
          <cell r="K283"/>
        </row>
        <row r="284">
          <cell r="A284" t="str">
            <v>RHNM-SHWODBR</v>
          </cell>
          <cell r="B284" t="str">
            <v>VAR_cap</v>
          </cell>
          <cell r="C284" t="str">
            <v>-</v>
          </cell>
          <cell r="D284"/>
          <cell r="E284">
            <v>6.33891912957952E-3</v>
          </cell>
          <cell r="F284">
            <v>1.3277543199717792E-2</v>
          </cell>
          <cell r="G284">
            <v>1.3277726570431768E-2</v>
          </cell>
          <cell r="H284">
            <v>6.6420871382343316E-2</v>
          </cell>
          <cell r="I284">
            <v>2.8091320281765291E-2</v>
          </cell>
          <cell r="J284"/>
          <cell r="K284"/>
        </row>
        <row r="285">
          <cell r="A285" t="str">
            <v>RHNS-SHDEM</v>
          </cell>
          <cell r="B285" t="str">
            <v>VAR_fout</v>
          </cell>
          <cell r="C285" t="str">
            <v>RHNS-SHD</v>
          </cell>
          <cell r="D285"/>
          <cell r="E285">
            <v>0.40468474157116097</v>
          </cell>
          <cell r="F285">
            <v>1.4281476381467699</v>
          </cell>
          <cell r="G285">
            <v>2.8380321052711412</v>
          </cell>
          <cell r="H285">
            <v>4.3643140850840378</v>
          </cell>
          <cell r="I285">
            <v>5.3325835720401633</v>
          </cell>
          <cell r="J285"/>
          <cell r="K285"/>
        </row>
        <row r="286">
          <cell r="A286" t="str">
            <v>RHNS-SHDEM</v>
          </cell>
          <cell r="B286" t="str">
            <v>VAR_fin</v>
          </cell>
          <cell r="C286" t="str">
            <v>RHNS-SHLTHC-WOD</v>
          </cell>
          <cell r="D286"/>
          <cell r="E286">
            <v>2.8973317272638183E-5</v>
          </cell>
          <cell r="F286">
            <v>1.7619912197378209E-5</v>
          </cell>
          <cell r="G286">
            <v>1.3602522699206676E-4</v>
          </cell>
          <cell r="H286">
            <v>3.9564621324543948E-5</v>
          </cell>
          <cell r="I286">
            <v>2.680149147162683E-5</v>
          </cell>
          <cell r="J286"/>
        </row>
        <row r="287">
          <cell r="A287" t="str">
            <v>RHNS-SHDEM</v>
          </cell>
          <cell r="B287" t="str">
            <v>VAR_fin</v>
          </cell>
          <cell r="C287" t="str">
            <v>RHNS-SHLFO</v>
          </cell>
          <cell r="D287"/>
          <cell r="E287">
            <v>2.4184968632820532E-4</v>
          </cell>
          <cell r="F287">
            <v>4.1658720415431054E-2</v>
          </cell>
          <cell r="G287">
            <v>6.4332659340107456E-2</v>
          </cell>
          <cell r="H287">
            <v>7.3074578191519649E-2</v>
          </cell>
          <cell r="I287"/>
          <cell r="J287"/>
          <cell r="K287"/>
        </row>
        <row r="288">
          <cell r="A288" t="str">
            <v>RHNS-SHDEM</v>
          </cell>
          <cell r="B288" t="str">
            <v>VAR_fin</v>
          </cell>
          <cell r="C288" t="str">
            <v>RHNS-SHNGAH</v>
          </cell>
          <cell r="D288"/>
          <cell r="E288">
            <v>3.9465393283000339E-5</v>
          </cell>
          <cell r="F288">
            <v>0.16723888630897502</v>
          </cell>
          <cell r="G288">
            <v>0.54327022940626568</v>
          </cell>
          <cell r="H288">
            <v>0.97946247514592599</v>
          </cell>
          <cell r="I288">
            <v>1.3071044137127288</v>
          </cell>
          <cell r="J288"/>
        </row>
        <row r="289">
          <cell r="A289" t="str">
            <v>RHNS-SHDEM</v>
          </cell>
          <cell r="B289" t="str">
            <v>VAR_fin</v>
          </cell>
          <cell r="C289" t="str">
            <v>RHNS-SHCON</v>
          </cell>
          <cell r="D289"/>
          <cell r="E289"/>
          <cell r="F289">
            <v>1.1144906535258681E-3</v>
          </cell>
          <cell r="G289">
            <v>1.076545984142353E-3</v>
          </cell>
          <cell r="H289">
            <v>5.2342290249963938E-3</v>
          </cell>
          <cell r="I289">
            <v>6.872261922614252E-2</v>
          </cell>
          <cell r="J289"/>
          <cell r="K289"/>
        </row>
        <row r="290">
          <cell r="A290" t="str">
            <v>RHNS-SHDEM</v>
          </cell>
          <cell r="B290" t="str">
            <v>VAR_fin</v>
          </cell>
          <cell r="C290" t="str">
            <v>RHNS-SHWOD</v>
          </cell>
          <cell r="D290"/>
          <cell r="E290">
            <v>2.6434993115438121E-2</v>
          </cell>
          <cell r="F290">
            <v>5.3917685919751532E-2</v>
          </cell>
          <cell r="G290">
            <v>0.10187992233431056</v>
          </cell>
          <cell r="H290">
            <v>0.16202029804104928</v>
          </cell>
          <cell r="I290">
            <v>0.20203351829295429</v>
          </cell>
          <cell r="J290"/>
          <cell r="K290"/>
        </row>
        <row r="291">
          <cell r="A291" t="str">
            <v>RHNS-SHDEM</v>
          </cell>
          <cell r="B291" t="str">
            <v>VAR_fin</v>
          </cell>
          <cell r="C291" t="str">
            <v>RHNS-SHNST</v>
          </cell>
          <cell r="D291"/>
          <cell r="E291">
            <v>2.2351517611023636E-5</v>
          </cell>
          <cell r="F291">
            <v>1.3913009153027552E-4</v>
          </cell>
          <cell r="G291"/>
          <cell r="H291">
            <v>1.6911050741183633E-4</v>
          </cell>
          <cell r="I291">
            <v>1.8257587427241318E-4</v>
          </cell>
          <cell r="J291"/>
          <cell r="K291"/>
        </row>
        <row r="292">
          <cell r="A292" t="str">
            <v>RHNS-SHDEM</v>
          </cell>
          <cell r="B292" t="str">
            <v>VAR_fin</v>
          </cell>
          <cell r="C292" t="str">
            <v>RHNS-SHPLT</v>
          </cell>
          <cell r="D292"/>
          <cell r="E292">
            <v>4.0591588995771858E-5</v>
          </cell>
          <cell r="F292">
            <v>2.7867978651694323E-3</v>
          </cell>
          <cell r="G292">
            <v>6.458351812480688E-3</v>
          </cell>
          <cell r="H292">
            <v>1.2019679982560793E-2</v>
          </cell>
          <cell r="I292">
            <v>1.8528497684983276E-2</v>
          </cell>
          <cell r="J292"/>
          <cell r="K292"/>
        </row>
        <row r="293">
          <cell r="A293" t="str">
            <v>RHNS-SHDEM</v>
          </cell>
          <cell r="B293" t="str">
            <v>VAR_fin</v>
          </cell>
          <cell r="C293" t="str">
            <v>RHNS-SHLTHD</v>
          </cell>
          <cell r="D293"/>
          <cell r="E293">
            <v>5.387921788899757E-2</v>
          </cell>
          <cell r="F293">
            <v>4.008170878768938E-3</v>
          </cell>
          <cell r="G293">
            <v>6.3764940735318706E-3</v>
          </cell>
          <cell r="H293">
            <v>1.0220271438845706E-2</v>
          </cell>
          <cell r="I293">
            <v>1.2771643864188472E-2</v>
          </cell>
          <cell r="J293"/>
          <cell r="K293"/>
        </row>
        <row r="294">
          <cell r="A294" t="str">
            <v>RHNS-SHDEM</v>
          </cell>
          <cell r="B294" t="str">
            <v>VAR_fin</v>
          </cell>
          <cell r="C294" t="str">
            <v>RHNS-SHELCB</v>
          </cell>
          <cell r="D294"/>
          <cell r="E294">
            <v>6.8853505666285481E-2</v>
          </cell>
          <cell r="F294">
            <v>8.1549524605206321E-3</v>
          </cell>
          <cell r="G294">
            <v>1.7185650034560955E-2</v>
          </cell>
          <cell r="H294">
            <v>2.7749533289365733E-2</v>
          </cell>
          <cell r="I294">
            <v>3.2013886620289915E-2</v>
          </cell>
          <cell r="J294"/>
          <cell r="K294"/>
        </row>
        <row r="295">
          <cell r="A295" t="str">
            <v>RHNS-SHDEM</v>
          </cell>
          <cell r="B295" t="str">
            <v>VAR_fin</v>
          </cell>
          <cell r="C295" t="str">
            <v>RHNS-SHELCH</v>
          </cell>
          <cell r="D295"/>
          <cell r="E295">
            <v>0.13914340288562008</v>
          </cell>
          <cell r="F295">
            <v>1.0954299567711747</v>
          </cell>
          <cell r="G295">
            <v>1.9857537772935014</v>
          </cell>
          <cell r="H295">
            <v>2.9300554947531068</v>
          </cell>
          <cell r="I295">
            <v>3.5143447503790042</v>
          </cell>
          <cell r="J295"/>
          <cell r="K295"/>
        </row>
        <row r="296">
          <cell r="A296" t="str">
            <v>RHNS-SHDEM</v>
          </cell>
          <cell r="B296" t="str">
            <v>VAR_fin</v>
          </cell>
          <cell r="C296" t="str">
            <v>RHNS-SHSOL</v>
          </cell>
          <cell r="D296"/>
          <cell r="E296">
            <v>1.3296766075047806E-2</v>
          </cell>
          <cell r="F296">
            <v>3.2219057543197109E-4</v>
          </cell>
          <cell r="G296">
            <v>3.9498058681176532E-4</v>
          </cell>
          <cell r="H296">
            <v>6.1676561054024956E-4</v>
          </cell>
          <cell r="I296">
            <v>8.818229948975118E-4</v>
          </cell>
          <cell r="J296"/>
          <cell r="K296"/>
        </row>
        <row r="297">
          <cell r="A297" t="str">
            <v>RHNS-SHDEM</v>
          </cell>
          <cell r="B297" t="str">
            <v>VAR_fin</v>
          </cell>
          <cell r="C297" t="str">
            <v>RHNS-SHLTHC-NGA</v>
          </cell>
          <cell r="D297"/>
          <cell r="E297">
            <v>9.7116176548074965E-4</v>
          </cell>
          <cell r="F297">
            <v>1.22631089332875E-5</v>
          </cell>
          <cell r="G297">
            <v>3.8884536728715552E-5</v>
          </cell>
          <cell r="H297">
            <v>9.4204806318984262E-6</v>
          </cell>
          <cell r="I297">
            <v>2.2761716910461919E-6</v>
          </cell>
          <cell r="J297"/>
          <cell r="K297"/>
        </row>
        <row r="298">
          <cell r="A298" t="str">
            <v>RHNS-SHDEM</v>
          </cell>
          <cell r="B298" t="str">
            <v>VAR_fin</v>
          </cell>
          <cell r="C298" t="str">
            <v>RHNS-SHNGA</v>
          </cell>
          <cell r="D298"/>
          <cell r="E298">
            <v>0.10192042694008434</v>
          </cell>
          <cell r="F298">
            <v>5.3729482271723153E-2</v>
          </cell>
          <cell r="G298">
            <v>0.11144003843289464</v>
          </cell>
          <cell r="H298">
            <v>0.16391822364122405</v>
          </cell>
          <cell r="I298">
            <v>0.17618198881159169</v>
          </cell>
          <cell r="J298"/>
          <cell r="K298"/>
        </row>
        <row r="299">
          <cell r="A299" t="str">
            <v>RES-ELCSPEC</v>
          </cell>
          <cell r="B299" t="str">
            <v>VAR_fout</v>
          </cell>
          <cell r="C299" t="str">
            <v>RHSA-ELS</v>
          </cell>
          <cell r="D299">
            <v>44.576906092797657</v>
          </cell>
          <cell r="E299">
            <v>44.861183007589794</v>
          </cell>
          <cell r="F299">
            <v>49.523420615002273</v>
          </cell>
          <cell r="G299">
            <v>50.016880955871351</v>
          </cell>
          <cell r="H299">
            <v>50.540472034830387</v>
          </cell>
          <cell r="I299">
            <v>50.053439145735688</v>
          </cell>
          <cell r="J299"/>
          <cell r="K299"/>
        </row>
        <row r="300">
          <cell r="A300" t="str">
            <v>RES-ELCSPEC</v>
          </cell>
          <cell r="B300" t="str">
            <v>VAR_fin</v>
          </cell>
          <cell r="C300" t="str">
            <v>RHSA_ELC</v>
          </cell>
          <cell r="D300">
            <v>44.576906092797657</v>
          </cell>
          <cell r="E300">
            <v>44.861183007589794</v>
          </cell>
          <cell r="F300">
            <v>49.523420615002273</v>
          </cell>
          <cell r="G300">
            <v>50.016880955871351</v>
          </cell>
          <cell r="H300">
            <v>50.540472034830387</v>
          </cell>
          <cell r="I300">
            <v>50.053439145735688</v>
          </cell>
          <cell r="J300"/>
          <cell r="K300"/>
        </row>
        <row r="301">
          <cell r="A301" t="str">
            <v>RES-ELCSPEC</v>
          </cell>
          <cell r="B301" t="str">
            <v>VAR_ncap</v>
          </cell>
          <cell r="C301" t="str">
            <v>-</v>
          </cell>
          <cell r="D301">
            <v>0.19321293022699099</v>
          </cell>
          <cell r="E301">
            <v>4.2350618521577502E-6</v>
          </cell>
          <cell r="F301">
            <v>0.47633762967663601</v>
          </cell>
          <cell r="G301">
            <v>5.2159613689725999E-2</v>
          </cell>
          <cell r="H301">
            <v>5.1717334794063301E-3</v>
          </cell>
          <cell r="I301">
            <v>4.5691023900489496</v>
          </cell>
          <cell r="J301"/>
          <cell r="K301"/>
        </row>
        <row r="302">
          <cell r="A302" t="str">
            <v>RES-ELCSPEC</v>
          </cell>
          <cell r="B302" t="str">
            <v>VAR_cap</v>
          </cell>
          <cell r="C302" t="str">
            <v>-</v>
          </cell>
          <cell r="D302">
            <v>4.7117496143574611</v>
          </cell>
          <cell r="E302">
            <v>4.7423707541405093</v>
          </cell>
          <cell r="F302">
            <v>5.2345930155238234</v>
          </cell>
          <cell r="G302">
            <v>5.286750439556279</v>
          </cell>
          <cell r="H302">
            <v>5.3420937428788466</v>
          </cell>
          <cell r="I302">
            <v>5.2906128075363048</v>
          </cell>
          <cell r="J302"/>
          <cell r="K302"/>
        </row>
        <row r="303">
          <cell r="A303" t="str">
            <v>SCOM-SHCONBR1</v>
          </cell>
          <cell r="B303" t="str">
            <v>VAR_fout</v>
          </cell>
          <cell r="C303" t="str">
            <v>SCOM-SHCON</v>
          </cell>
          <cell r="D303"/>
          <cell r="E303">
            <v>1.5198251628249457</v>
          </cell>
          <cell r="F303">
            <v>0.48524093647201549</v>
          </cell>
          <cell r="G303">
            <v>0.88168237183853704</v>
          </cell>
          <cell r="H303">
            <v>2.1591578644414269</v>
          </cell>
          <cell r="I303">
            <v>2.6178025158748346</v>
          </cell>
          <cell r="J303"/>
          <cell r="K303"/>
        </row>
        <row r="304">
          <cell r="A304" t="str">
            <v>SCOM-SHCONBR1</v>
          </cell>
          <cell r="B304" t="str">
            <v>VAR_fin</v>
          </cell>
          <cell r="C304" t="str">
            <v>CON</v>
          </cell>
          <cell r="D304"/>
          <cell r="E304">
            <v>1.5198251628249457</v>
          </cell>
          <cell r="F304">
            <v>0.48524093647201549</v>
          </cell>
          <cell r="G304">
            <v>0.88168237183853704</v>
          </cell>
          <cell r="H304">
            <v>2.1591578644414269</v>
          </cell>
          <cell r="I304">
            <v>2.6178025158748346</v>
          </cell>
          <cell r="J304"/>
          <cell r="K304"/>
        </row>
        <row r="305">
          <cell r="A305" t="str">
            <v>SCOM-SHCONBR1</v>
          </cell>
          <cell r="B305" t="str">
            <v>VAR_ncap</v>
          </cell>
          <cell r="C305" t="str">
            <v>-</v>
          </cell>
          <cell r="D305"/>
          <cell r="E305">
            <v>0.117431655230692</v>
          </cell>
          <cell r="F305">
            <v>1.8650837124285799E-7</v>
          </cell>
          <cell r="G305">
            <v>4.7073070718788599E-7</v>
          </cell>
          <cell r="H305">
            <v>5.03916094907957E-2</v>
          </cell>
          <cell r="I305">
            <v>8.9082174024201904E-2</v>
          </cell>
          <cell r="J305"/>
        </row>
        <row r="306">
          <cell r="A306" t="str">
            <v>SCOM-SHCONBR1</v>
          </cell>
          <cell r="B306" t="str">
            <v>VAR_cap</v>
          </cell>
          <cell r="C306" t="str">
            <v>-</v>
          </cell>
          <cell r="D306"/>
          <cell r="E306">
            <v>0.117431655230692</v>
          </cell>
          <cell r="F306">
            <v>0.11743113342466809</v>
          </cell>
          <cell r="G306">
            <v>0.11743120480248546</v>
          </cell>
          <cell r="H306">
            <v>0.16782439837475668</v>
          </cell>
          <cell r="I306">
            <v>0.20736235919112947</v>
          </cell>
          <cell r="J306"/>
          <cell r="K306"/>
        </row>
        <row r="307">
          <cell r="A307" t="str">
            <v>RHSA-WHSTG-SOL</v>
          </cell>
          <cell r="B307" t="str">
            <v>VAR_fout</v>
          </cell>
          <cell r="C307" t="str">
            <v>RHSA-WHASOL</v>
          </cell>
          <cell r="D307">
            <v>3.0800978576030148E-5</v>
          </cell>
          <cell r="E307">
            <v>5.7799838181420916E-6</v>
          </cell>
          <cell r="F307">
            <v>1.4332136060155569E-2</v>
          </cell>
          <cell r="G307">
            <v>0.11866505916344625</v>
          </cell>
          <cell r="H307">
            <v>0.24575306638788103</v>
          </cell>
          <cell r="I307">
            <v>0.26651260884668221</v>
          </cell>
          <cell r="J307"/>
        </row>
        <row r="308">
          <cell r="A308" t="str">
            <v>RHSA-WHSTG-SOL</v>
          </cell>
          <cell r="B308" t="str">
            <v>VAR_fin</v>
          </cell>
          <cell r="C308" t="str">
            <v>RHSA-WHASOL</v>
          </cell>
          <cell r="D308">
            <v>8.7708387303675603E-7</v>
          </cell>
          <cell r="E308">
            <v>4.5653659255381403E-5</v>
          </cell>
          <cell r="F308">
            <v>1.4370806478156207E-2</v>
          </cell>
          <cell r="G308">
            <v>0.11870553297834981</v>
          </cell>
          <cell r="H308">
            <v>0.2457768034124424</v>
          </cell>
          <cell r="I308">
            <v>0.26654379347678314</v>
          </cell>
          <cell r="J308"/>
          <cell r="K308"/>
        </row>
        <row r="309">
          <cell r="A309" t="str">
            <v>RHSA-WHSTG-SOL</v>
          </cell>
          <cell r="B309" t="str">
            <v>VAR_ncap</v>
          </cell>
          <cell r="C309" t="str">
            <v>-</v>
          </cell>
          <cell r="D309">
            <v>6.4127092103156199E-3</v>
          </cell>
          <cell r="E309">
            <v>7.1829459377943494E-2</v>
          </cell>
          <cell r="F309">
            <v>2.9186392577938701E-7</v>
          </cell>
          <cell r="G309">
            <v>6.3786810281370895E-7</v>
          </cell>
          <cell r="H309">
            <v>4.5434791228418203E-2</v>
          </cell>
          <cell r="I309">
            <v>3.8864787548473001E-2</v>
          </cell>
          <cell r="J309"/>
          <cell r="K309"/>
        </row>
        <row r="310">
          <cell r="A310" t="str">
            <v>RHSA-WHSTG-SOL</v>
          </cell>
          <cell r="B310" t="str">
            <v>VAR_cap</v>
          </cell>
          <cell r="C310" t="str">
            <v>-</v>
          </cell>
          <cell r="D310">
            <v>6.4137717632792163E-3</v>
          </cell>
          <cell r="E310">
            <v>7.8243231141222808E-2</v>
          </cell>
          <cell r="F310">
            <v>7.8243523005148502E-2</v>
          </cell>
          <cell r="G310">
            <v>7.8244160873251298E-2</v>
          </cell>
          <cell r="H310">
            <v>7.0557214634359405E-2</v>
          </cell>
          <cell r="I310">
            <v>8.24647832759966E-2</v>
          </cell>
          <cell r="J310"/>
          <cell r="K310"/>
        </row>
        <row r="311">
          <cell r="A311" t="str">
            <v>SCOM-SHCONBR2</v>
          </cell>
          <cell r="B311" t="str">
            <v>VAR_fout</v>
          </cell>
          <cell r="C311" t="str">
            <v>SCOM-SHCON</v>
          </cell>
          <cell r="D311"/>
          <cell r="E311">
            <v>2.3671182740888992</v>
          </cell>
          <cell r="F311">
            <v>0.73372881706071902</v>
          </cell>
          <cell r="G311">
            <v>1.3985120139724831</v>
          </cell>
          <cell r="H311">
            <v>2.3536658491937543</v>
          </cell>
          <cell r="I311">
            <v>4.077278383853586</v>
          </cell>
          <cell r="J311"/>
        </row>
        <row r="312">
          <cell r="A312" t="str">
            <v>SCOM-SHCONBR2</v>
          </cell>
          <cell r="B312" t="str">
            <v>VAR_fin</v>
          </cell>
          <cell r="C312" t="str">
            <v>CON</v>
          </cell>
          <cell r="D312"/>
          <cell r="E312">
            <v>2.3671182740888992</v>
          </cell>
          <cell r="F312">
            <v>0.73372881706071902</v>
          </cell>
          <cell r="G312">
            <v>1.3985120139724831</v>
          </cell>
          <cell r="H312">
            <v>2.3536658491937543</v>
          </cell>
          <cell r="I312">
            <v>4.077278383853586</v>
          </cell>
          <cell r="J312"/>
        </row>
        <row r="313">
          <cell r="A313" t="str">
            <v>SCOM-SHCONBR2</v>
          </cell>
          <cell r="B313" t="str">
            <v>VAR_ncap</v>
          </cell>
          <cell r="C313" t="str">
            <v>-</v>
          </cell>
          <cell r="D313"/>
          <cell r="E313">
            <v>0.18290219647946701</v>
          </cell>
          <cell r="F313">
            <v>1.5957305698548399E-7</v>
          </cell>
          <cell r="G313">
            <v>3.8649709295022301E-7</v>
          </cell>
          <cell r="H313">
            <v>3.6308751062234299E-6</v>
          </cell>
          <cell r="I313">
            <v>0.210592468809985</v>
          </cell>
          <cell r="J313"/>
          <cell r="K313"/>
        </row>
        <row r="314">
          <cell r="A314" t="str">
            <v>SCOM-SHCONBR2</v>
          </cell>
          <cell r="B314" t="str">
            <v>VAR_cap</v>
          </cell>
          <cell r="C314" t="str">
            <v>-</v>
          </cell>
          <cell r="D314"/>
          <cell r="E314">
            <v>0.18290219647946701</v>
          </cell>
          <cell r="F314">
            <v>0.18290163092319342</v>
          </cell>
          <cell r="G314">
            <v>0.18290161694339283</v>
          </cell>
          <cell r="H314">
            <v>0.18290668680325378</v>
          </cell>
          <cell r="I314">
            <v>0.31633299891274114</v>
          </cell>
          <cell r="J314"/>
        </row>
        <row r="315">
          <cell r="A315" t="str">
            <v>SCOM-SHCONBR3</v>
          </cell>
          <cell r="B315" t="str">
            <v>VAR_fout</v>
          </cell>
          <cell r="C315" t="str">
            <v>SCOM-SHCON</v>
          </cell>
          <cell r="D315"/>
          <cell r="E315">
            <v>1.9020827499279676</v>
          </cell>
          <cell r="F315">
            <v>0.59793494534620262</v>
          </cell>
          <cell r="G315">
            <v>1.1145236644477559</v>
          </cell>
          <cell r="H315">
            <v>1.8902125814766559</v>
          </cell>
          <cell r="I315">
            <v>3.2762407846475594</v>
          </cell>
          <cell r="J315"/>
        </row>
        <row r="316">
          <cell r="A316" t="str">
            <v>SCOM-SHCONBR3</v>
          </cell>
          <cell r="B316" t="str">
            <v>VAR_fin</v>
          </cell>
          <cell r="C316" t="str">
            <v>CON</v>
          </cell>
          <cell r="D316"/>
          <cell r="E316">
            <v>1.9020827499279676</v>
          </cell>
          <cell r="F316">
            <v>0.59793494534620262</v>
          </cell>
          <cell r="G316">
            <v>1.1145236644477559</v>
          </cell>
          <cell r="H316">
            <v>1.8902125814766559</v>
          </cell>
          <cell r="I316">
            <v>3.2762407846475594</v>
          </cell>
          <cell r="J316"/>
          <cell r="K316"/>
        </row>
        <row r="317">
          <cell r="A317" t="str">
            <v>SCOM-SHCONBR3</v>
          </cell>
          <cell r="B317" t="str">
            <v>VAR_ncap</v>
          </cell>
          <cell r="C317" t="str">
            <v>-</v>
          </cell>
          <cell r="D317"/>
          <cell r="E317">
            <v>0.14696864708739699</v>
          </cell>
          <cell r="F317">
            <v>7.4196973116210797E-8</v>
          </cell>
          <cell r="G317">
            <v>1.32226790820237E-7</v>
          </cell>
          <cell r="H317">
            <v>2.90737127914537E-7</v>
          </cell>
          <cell r="I317">
            <v>0.16820138124373099</v>
          </cell>
          <cell r="J317"/>
          <cell r="K317"/>
          <cell r="L317"/>
          <cell r="M317"/>
        </row>
        <row r="318">
          <cell r="A318" t="str">
            <v>SCOM-SHCONBR3</v>
          </cell>
          <cell r="B318" t="str">
            <v>VAR_cap</v>
          </cell>
          <cell r="C318" t="str">
            <v>-</v>
          </cell>
          <cell r="D318"/>
          <cell r="E318">
            <v>0.14696864708739699</v>
          </cell>
          <cell r="F318">
            <v>0.14696800670911175</v>
          </cell>
          <cell r="G318">
            <v>0.14696774518141698</v>
          </cell>
          <cell r="H318">
            <v>0.14696901810878871</v>
          </cell>
          <cell r="I318">
            <v>0.25316462925881644</v>
          </cell>
          <cell r="J318"/>
          <cell r="K318"/>
        </row>
        <row r="319">
          <cell r="A319" t="str">
            <v>SCOM-SHCONBR4</v>
          </cell>
          <cell r="B319" t="str">
            <v>VAR_fout</v>
          </cell>
          <cell r="C319" t="str">
            <v>SCOM-SHCON</v>
          </cell>
          <cell r="D319"/>
          <cell r="E319">
            <v>0.52294454130707047</v>
          </cell>
          <cell r="F319">
            <v>0.18938044631033696</v>
          </cell>
          <cell r="G319">
            <v>0.29710779351320266</v>
          </cell>
          <cell r="H319">
            <v>0.51638885913339005</v>
          </cell>
          <cell r="I319">
            <v>0.43231075690845577</v>
          </cell>
          <cell r="J319"/>
        </row>
        <row r="320">
          <cell r="A320" t="str">
            <v>SCOM-SHCONBR4</v>
          </cell>
          <cell r="B320" t="str">
            <v>VAR_fin</v>
          </cell>
          <cell r="C320" t="str">
            <v>CON</v>
          </cell>
          <cell r="E320">
            <v>0.52294454130707047</v>
          </cell>
          <cell r="F320">
            <v>0.18938044631033696</v>
          </cell>
          <cell r="G320">
            <v>0.29710779351320266</v>
          </cell>
          <cell r="H320">
            <v>0.51638885913339005</v>
          </cell>
          <cell r="I320">
            <v>0.43231075690845577</v>
          </cell>
          <cell r="J320"/>
        </row>
        <row r="321">
          <cell r="A321" t="str">
            <v>SCOM-SHCONBR4</v>
          </cell>
          <cell r="B321" t="str">
            <v>VAR_ncap</v>
          </cell>
          <cell r="C321" t="str">
            <v>-</v>
          </cell>
          <cell r="D321"/>
          <cell r="E321">
            <v>4.0402147037328397E-2</v>
          </cell>
          <cell r="F321">
            <v>6.5126609061451998E-8</v>
          </cell>
          <cell r="G321">
            <v>1.09504236187682E-7</v>
          </cell>
          <cell r="H321">
            <v>2.0987560575127499E-7</v>
          </cell>
          <cell r="I321">
            <v>1.00532014407316E-2</v>
          </cell>
          <cell r="J321"/>
          <cell r="K321"/>
        </row>
        <row r="322">
          <cell r="A322" t="str">
            <v>SCOM-SHCONBR4</v>
          </cell>
          <cell r="B322" t="str">
            <v>VAR_cap</v>
          </cell>
          <cell r="C322" t="str">
            <v>-</v>
          </cell>
          <cell r="D322"/>
          <cell r="E322">
            <v>4.0402147037328397E-2</v>
          </cell>
          <cell r="F322">
            <v>4.0401555878975176E-2</v>
          </cell>
          <cell r="G322">
            <v>4.040128306434268E-2</v>
          </cell>
          <cell r="H322">
            <v>4.0402378421967228E-2</v>
          </cell>
          <cell r="I322">
            <v>3.3410117617235689E-2</v>
          </cell>
          <cell r="J322"/>
          <cell r="K322"/>
        </row>
        <row r="323">
          <cell r="A323" t="str">
            <v>RHEM-SHNGABR</v>
          </cell>
          <cell r="B323" t="str">
            <v>VAR_fout</v>
          </cell>
          <cell r="C323" t="str">
            <v>CO2_R</v>
          </cell>
          <cell r="D323">
            <v>1127.9636103580799</v>
          </cell>
          <cell r="E323">
            <v>1140.2401954248201</v>
          </cell>
          <cell r="F323">
            <v>1317.7101517336</v>
          </cell>
          <cell r="G323">
            <v>1111.0086433891099</v>
          </cell>
          <cell r="H323">
            <v>678.15849642592798</v>
          </cell>
          <cell r="I323">
            <v>308.40359868006101</v>
          </cell>
          <cell r="J323"/>
        </row>
        <row r="324">
          <cell r="A324" t="str">
            <v>RHEM-SHNGABR</v>
          </cell>
          <cell r="B324" t="str">
            <v>VAR_fout</v>
          </cell>
          <cell r="C324" t="str">
            <v>RHEM-SHNGA</v>
          </cell>
          <cell r="D324">
            <v>18.99938705390381</v>
          </cell>
          <cell r="E324">
            <v>19.206173504496025</v>
          </cell>
          <cell r="F324">
            <v>22.044934318243719</v>
          </cell>
          <cell r="G324">
            <v>18.702583160580339</v>
          </cell>
          <cell r="H324">
            <v>11.436956818914274</v>
          </cell>
          <cell r="I324">
            <v>5.2044312581548784</v>
          </cell>
          <cell r="J324"/>
        </row>
        <row r="325">
          <cell r="A325" t="str">
            <v>RHEM-SHNGABR</v>
          </cell>
          <cell r="B325" t="str">
            <v>VAR_fin</v>
          </cell>
          <cell r="C325" t="str">
            <v>RNGA</v>
          </cell>
          <cell r="D325">
            <v>19.999354793582949</v>
          </cell>
          <cell r="E325">
            <v>20.217024741574772</v>
          </cell>
          <cell r="F325">
            <v>23.363655172581588</v>
          </cell>
          <cell r="G325">
            <v>19.698734811863602</v>
          </cell>
          <cell r="H325">
            <v>12.024086816062541</v>
          </cell>
          <cell r="I325">
            <v>5.4681489127670408</v>
          </cell>
          <cell r="J325"/>
        </row>
        <row r="326">
          <cell r="A326" t="str">
            <v>RHEM-SHNGABR</v>
          </cell>
          <cell r="B326" t="str">
            <v>VAR_ncap</v>
          </cell>
          <cell r="C326" t="str">
            <v>-</v>
          </cell>
          <cell r="D326"/>
          <cell r="E326">
            <v>1.7179011003290001E-2</v>
          </cell>
          <cell r="F326">
            <v>0.19268671240653501</v>
          </cell>
          <cell r="G326">
            <v>4.1405770059290402E-7</v>
          </cell>
          <cell r="H326">
            <v>0.25556746505171002</v>
          </cell>
          <cell r="I326">
            <v>3.62177924158573E-7</v>
          </cell>
          <cell r="J326"/>
          <cell r="K326"/>
        </row>
        <row r="327">
          <cell r="A327" t="str">
            <v>RHEM-SHNGABR</v>
          </cell>
          <cell r="B327" t="str">
            <v>VAR_cap</v>
          </cell>
          <cell r="C327" t="str">
            <v>-</v>
          </cell>
          <cell r="D327">
            <v>1.34683498965227</v>
          </cell>
          <cell r="E327">
            <v>1.3640137249748332</v>
          </cell>
          <cell r="F327">
            <v>1.5567003582031651</v>
          </cell>
          <cell r="G327">
            <v>1.5566620176184269</v>
          </cell>
          <cell r="H327">
            <v>0.80764152612694762</v>
          </cell>
          <cell r="I327">
            <v>0.40455852675472542</v>
          </cell>
          <cell r="J327"/>
          <cell r="K327"/>
        </row>
        <row r="328">
          <cell r="A328" t="str">
            <v>SCOM-SHCONBR5</v>
          </cell>
          <cell r="B328" t="str">
            <v>VAR_fout</v>
          </cell>
          <cell r="C328" t="str">
            <v>SCOM-SHCON</v>
          </cell>
          <cell r="D328"/>
          <cell r="E328">
            <v>0.65267330599319884</v>
          </cell>
          <cell r="F328">
            <v>0.22935459018708412</v>
          </cell>
          <cell r="G328">
            <v>0.37132944575828236</v>
          </cell>
          <cell r="H328">
            <v>0.64543733303417306</v>
          </cell>
          <cell r="I328">
            <v>0.37720959795155634</v>
          </cell>
          <cell r="J328"/>
        </row>
        <row r="329">
          <cell r="A329" t="str">
            <v>SCOM-SHCONBR5</v>
          </cell>
          <cell r="B329" t="str">
            <v>VAR_fin</v>
          </cell>
          <cell r="C329" t="str">
            <v>CON</v>
          </cell>
          <cell r="D329"/>
          <cell r="E329">
            <v>0.65267330599319884</v>
          </cell>
          <cell r="F329">
            <v>0.22935459018708412</v>
          </cell>
          <cell r="G329">
            <v>0.37132944575828236</v>
          </cell>
          <cell r="H329">
            <v>0.64543733303417306</v>
          </cell>
          <cell r="I329">
            <v>0.37720959795155634</v>
          </cell>
          <cell r="J329"/>
          <cell r="K329"/>
        </row>
        <row r="330">
          <cell r="A330" t="str">
            <v>SCOM-SHCONBR5</v>
          </cell>
          <cell r="B330" t="str">
            <v>VAR_ncap</v>
          </cell>
          <cell r="C330" t="str">
            <v>-</v>
          </cell>
          <cell r="D330"/>
          <cell r="E330">
            <v>5.0426315081953499E-2</v>
          </cell>
          <cell r="F330">
            <v>5.4348404232402198E-8</v>
          </cell>
          <cell r="G330">
            <v>8.6709577560456E-8</v>
          </cell>
          <cell r="H330">
            <v>1.4613536621539199E-7</v>
          </cell>
          <cell r="I330">
            <v>7.2351097218775801E-7</v>
          </cell>
          <cell r="J330"/>
          <cell r="K330"/>
        </row>
        <row r="331">
          <cell r="A331" t="str">
            <v>SCOM-SHCONBR5</v>
          </cell>
          <cell r="B331" t="str">
            <v>VAR_cap</v>
          </cell>
          <cell r="C331" t="str">
            <v>-</v>
          </cell>
          <cell r="D331"/>
          <cell r="E331">
            <v>5.0426315081953499E-2</v>
          </cell>
          <cell r="F331">
            <v>5.0425701815553711E-2</v>
          </cell>
          <cell r="G331">
            <v>5.0425404523420314E-2</v>
          </cell>
          <cell r="H331">
            <v>5.0426414529786412E-2</v>
          </cell>
          <cell r="I331">
            <v>2.9152493143368076E-2</v>
          </cell>
          <cell r="J331"/>
        </row>
        <row r="332">
          <cell r="A332" t="str">
            <v>RHES-SHSTG-ELCHP</v>
          </cell>
          <cell r="B332" t="str">
            <v>VAR_fout</v>
          </cell>
          <cell r="C332" t="str">
            <v>RHES-SHAELCH</v>
          </cell>
          <cell r="D332">
            <v>4.4279909285679205E-7</v>
          </cell>
          <cell r="E332">
            <v>7.7566105713064501E-7</v>
          </cell>
          <cell r="F332">
            <v>0.73158590748273822</v>
          </cell>
          <cell r="G332">
            <v>0.91243689010320572</v>
          </cell>
          <cell r="H332">
            <v>1.1022624068893128</v>
          </cell>
          <cell r="I332">
            <v>0.95593077957169126</v>
          </cell>
          <cell r="J332"/>
          <cell r="K332"/>
        </row>
        <row r="333">
          <cell r="A333" t="str">
            <v>RHES-SHSTG-ELCHP</v>
          </cell>
          <cell r="B333" t="str">
            <v>VAR_fin</v>
          </cell>
          <cell r="C333" t="str">
            <v>RHES-SHAELCH</v>
          </cell>
          <cell r="D333">
            <v>2.8658749307084346E-5</v>
          </cell>
          <cell r="E333">
            <v>2.3176546601492106E-5</v>
          </cell>
          <cell r="F333">
            <v>0.73160311705452008</v>
          </cell>
          <cell r="G333">
            <v>0.91246304881870643</v>
          </cell>
          <cell r="H333">
            <v>1.1022974686274436</v>
          </cell>
          <cell r="I333">
            <v>0.95596911525589168</v>
          </cell>
          <cell r="J333"/>
          <cell r="K333"/>
        </row>
        <row r="334">
          <cell r="A334" t="str">
            <v>RHES-SHSTG-ELCHP</v>
          </cell>
          <cell r="B334" t="str">
            <v>VAR_ncap</v>
          </cell>
          <cell r="C334" t="str">
            <v>-</v>
          </cell>
          <cell r="D334">
            <v>5.04425621180283E-3</v>
          </cell>
          <cell r="E334">
            <v>0.14147636816876599</v>
          </cell>
          <cell r="F334">
            <v>0.132473064848737</v>
          </cell>
          <cell r="G334">
            <v>4.48512800663892E-2</v>
          </cell>
          <cell r="H334">
            <v>0.20994932944196601</v>
          </cell>
          <cell r="I334">
            <v>0.189826016719816</v>
          </cell>
          <cell r="J334"/>
          <cell r="K334"/>
        </row>
        <row r="335">
          <cell r="A335" t="str">
            <v>RHES-SHSTG-ELCHP</v>
          </cell>
          <cell r="B335" t="str">
            <v>VAR_cap</v>
          </cell>
          <cell r="C335" t="str">
            <v>-</v>
          </cell>
          <cell r="D335">
            <v>5.04425621180283E-3</v>
          </cell>
          <cell r="E335">
            <v>0.1464999655318257</v>
          </cell>
          <cell r="F335">
            <v>0.27896185926497929</v>
          </cell>
          <cell r="G335">
            <v>0.32380373897760567</v>
          </cell>
          <cell r="H335">
            <v>0.36219849313369401</v>
          </cell>
          <cell r="I335">
            <v>0.38369933806663037</v>
          </cell>
          <cell r="J335"/>
          <cell r="K335"/>
        </row>
        <row r="336">
          <cell r="A336" t="str">
            <v>SCOM-SHCONBR6</v>
          </cell>
          <cell r="B336" t="str">
            <v>VAR_fout</v>
          </cell>
          <cell r="C336" t="str">
            <v>SCOM-SHCON</v>
          </cell>
          <cell r="D336"/>
          <cell r="E336"/>
          <cell r="F336"/>
          <cell r="G336"/>
          <cell r="H336">
            <v>2.5439914702636514E-4</v>
          </cell>
          <cell r="I336">
            <v>3.7706292091011271E-4</v>
          </cell>
          <cell r="J336"/>
          <cell r="K336"/>
        </row>
        <row r="337">
          <cell r="A337" t="str">
            <v>SCOM-SHCONBR6</v>
          </cell>
          <cell r="B337" t="str">
            <v>VAR_fin</v>
          </cell>
          <cell r="C337" t="str">
            <v>CON</v>
          </cell>
          <cell r="D337"/>
          <cell r="F337"/>
          <cell r="G337"/>
          <cell r="H337">
            <v>2.5439914702636514E-4</v>
          </cell>
          <cell r="I337">
            <v>3.7706292091011271E-4</v>
          </cell>
          <cell r="J337"/>
          <cell r="K337"/>
        </row>
        <row r="338">
          <cell r="A338" t="str">
            <v>SCOM-SHCONBR6</v>
          </cell>
          <cell r="B338" t="str">
            <v>VAR_ncap</v>
          </cell>
          <cell r="C338" t="str">
            <v>-</v>
          </cell>
          <cell r="D338"/>
          <cell r="F338"/>
          <cell r="G338"/>
          <cell r="H338">
            <v>6.9194072769248102E-7</v>
          </cell>
          <cell r="I338">
            <v>6.8831990303295201E-6</v>
          </cell>
          <cell r="J338"/>
          <cell r="K338"/>
        </row>
        <row r="339">
          <cell r="A339" t="str">
            <v>SCOM-SHCONBR6</v>
          </cell>
          <cell r="B339" t="str">
            <v>VAR_cap</v>
          </cell>
          <cell r="C339" t="str">
            <v>-</v>
          </cell>
          <cell r="D339"/>
          <cell r="E339"/>
          <cell r="F339"/>
          <cell r="G339"/>
          <cell r="H339">
            <v>2.4228759373754269E-5</v>
          </cell>
          <cell r="I339">
            <v>3.1130185071415992E-5</v>
          </cell>
          <cell r="J339"/>
        </row>
        <row r="340">
          <cell r="A340" t="str">
            <v>RHNM-SHDEM</v>
          </cell>
          <cell r="B340" t="str">
            <v>VAR_fout</v>
          </cell>
          <cell r="C340" t="str">
            <v>RHNM-SHD</v>
          </cell>
          <cell r="D340"/>
          <cell r="E340">
            <v>1.2071502183152301</v>
          </cell>
          <cell r="F340">
            <v>1.5880966781148009</v>
          </cell>
          <cell r="G340">
            <v>3.110237046678809</v>
          </cell>
          <cell r="H340">
            <v>4.9766913914664057</v>
          </cell>
          <cell r="I340">
            <v>6.1406182660844255</v>
          </cell>
          <cell r="J340"/>
          <cell r="K340"/>
        </row>
        <row r="341">
          <cell r="A341" t="str">
            <v>RHNM-SHDEM</v>
          </cell>
          <cell r="B341" t="str">
            <v>VAR_fin</v>
          </cell>
          <cell r="C341" t="str">
            <v>RHNM-SHLFO</v>
          </cell>
          <cell r="D341"/>
          <cell r="E341">
            <v>3.3226606432288287E-2</v>
          </cell>
          <cell r="F341">
            <v>0.10060196237110756</v>
          </cell>
          <cell r="G341">
            <v>0.15392011563083649</v>
          </cell>
          <cell r="H341">
            <v>0.17451773816454036</v>
          </cell>
          <cell r="I341">
            <v>2.7520715945483509E-5</v>
          </cell>
          <cell r="J341"/>
          <cell r="K341"/>
        </row>
        <row r="342">
          <cell r="A342" t="str">
            <v>RHNM-SHDEM</v>
          </cell>
          <cell r="B342" t="str">
            <v>VAR_fin</v>
          </cell>
          <cell r="C342" t="str">
            <v>RHNM-SHLTHD</v>
          </cell>
          <cell r="D342"/>
          <cell r="E342">
            <v>0.23524150324312204</v>
          </cell>
          <cell r="F342">
            <v>5.90536168036951E-2</v>
          </cell>
          <cell r="G342">
            <v>0.11021111300938824</v>
          </cell>
          <cell r="H342">
            <v>0.17629818625671537</v>
          </cell>
          <cell r="I342">
            <v>0.2233987592061363</v>
          </cell>
          <cell r="J342"/>
        </row>
        <row r="343">
          <cell r="A343" t="str">
            <v>RHNM-SHDEM</v>
          </cell>
          <cell r="B343" t="str">
            <v>VAR_fin</v>
          </cell>
          <cell r="C343" t="str">
            <v>RHNM-SHCON</v>
          </cell>
          <cell r="D343"/>
          <cell r="F343">
            <v>1.2327973554282464E-3</v>
          </cell>
          <cell r="G343">
            <v>1.1925685159911638E-3</v>
          </cell>
          <cell r="H343">
            <v>1.0646405438523344E-2</v>
          </cell>
          <cell r="I343">
            <v>0.13658591959497773</v>
          </cell>
          <cell r="J343"/>
        </row>
        <row r="344">
          <cell r="A344" t="str">
            <v>RHNM-SHDEM</v>
          </cell>
          <cell r="B344" t="str">
            <v>VAR_fin</v>
          </cell>
          <cell r="C344" t="str">
            <v>RHNM-SHELCB</v>
          </cell>
          <cell r="D344"/>
          <cell r="E344">
            <v>0.11790509297096304</v>
          </cell>
          <cell r="F344">
            <v>1.4207932869709638E-3</v>
          </cell>
          <cell r="G344">
            <v>3.8448913618039974E-3</v>
          </cell>
          <cell r="H344">
            <v>5.9168640054693689E-3</v>
          </cell>
          <cell r="I344">
            <v>7.3683787954050561E-3</v>
          </cell>
          <cell r="J344"/>
        </row>
        <row r="345">
          <cell r="A345" t="str">
            <v>RHNM-SHDEM</v>
          </cell>
          <cell r="B345" t="str">
            <v>VAR_fin</v>
          </cell>
          <cell r="C345" t="str">
            <v>RHNM-SHWOD</v>
          </cell>
          <cell r="D345"/>
          <cell r="E345">
            <v>7.0816233099749076E-2</v>
          </cell>
          <cell r="F345">
            <v>0.10317681714577918</v>
          </cell>
          <cell r="G345">
            <v>0.17042822688326126</v>
          </cell>
          <cell r="H345">
            <v>0.27633159473765911</v>
          </cell>
          <cell r="I345">
            <v>0.36168300076270138</v>
          </cell>
          <cell r="J345"/>
          <cell r="K345"/>
        </row>
        <row r="346">
          <cell r="A346" t="str">
            <v>RHNM-SHDEM</v>
          </cell>
          <cell r="B346" t="str">
            <v>VAR_fin</v>
          </cell>
          <cell r="C346" t="str">
            <v>RHNM-SHELCH</v>
          </cell>
          <cell r="D346"/>
          <cell r="E346">
            <v>3.3481037883082418E-2</v>
          </cell>
          <cell r="F346">
            <v>0.91077296996423096</v>
          </cell>
          <cell r="G346">
            <v>1.6683988967370351</v>
          </cell>
          <cell r="H346">
            <v>2.601277797964006</v>
          </cell>
          <cell r="I346">
            <v>3.2336013921075111</v>
          </cell>
          <cell r="J346"/>
          <cell r="K346"/>
        </row>
        <row r="347">
          <cell r="A347" t="str">
            <v>RHNM-SHDEM</v>
          </cell>
          <cell r="B347" t="str">
            <v>VAR_fin</v>
          </cell>
          <cell r="C347" t="str">
            <v>RHNM-SHNST</v>
          </cell>
          <cell r="D347"/>
          <cell r="E347">
            <v>7.051218137029391E-3</v>
          </cell>
          <cell r="F347">
            <v>1.1110138696275962E-4</v>
          </cell>
          <cell r="G347">
            <v>1.9258803527292962E-4</v>
          </cell>
          <cell r="H347">
            <v>1.6708045009915085E-4</v>
          </cell>
          <cell r="I347">
            <v>4.0885797281111615E-6</v>
          </cell>
          <cell r="J347"/>
          <cell r="K347"/>
        </row>
        <row r="348">
          <cell r="A348" t="str">
            <v>RHNM-SHDEM</v>
          </cell>
          <cell r="B348" t="str">
            <v>VAR_fin</v>
          </cell>
          <cell r="C348" t="str">
            <v>RHNM-SHPLT</v>
          </cell>
          <cell r="D348"/>
          <cell r="E348">
            <v>6.6156902069912898E-2</v>
          </cell>
          <cell r="F348">
            <v>1.9916536964171408E-2</v>
          </cell>
          <cell r="G348">
            <v>3.8734535387025509E-2</v>
          </cell>
          <cell r="H348">
            <v>6.7634308575231256E-2</v>
          </cell>
          <cell r="I348">
            <v>9.6949691053992162E-2</v>
          </cell>
          <cell r="J348"/>
          <cell r="K348"/>
        </row>
        <row r="349">
          <cell r="A349" t="str">
            <v>RHNM-SHDEM</v>
          </cell>
          <cell r="B349" t="str">
            <v>VAR_fin</v>
          </cell>
          <cell r="C349" t="str">
            <v>RHNM-SHLTHC-NGA</v>
          </cell>
          <cell r="D349"/>
          <cell r="E349">
            <v>3.381364185595833E-2</v>
          </cell>
          <cell r="F349">
            <v>2.6401445866567727E-5</v>
          </cell>
          <cell r="G349">
            <v>6.6285920179873201E-7</v>
          </cell>
          <cell r="H349">
            <v>2.3533798045903419E-5</v>
          </cell>
          <cell r="I349">
            <v>9.958256866156621E-5</v>
          </cell>
          <cell r="J349"/>
          <cell r="K349"/>
        </row>
        <row r="350">
          <cell r="A350" t="str">
            <v>RHNM-SHDEM</v>
          </cell>
          <cell r="B350" t="str">
            <v>VAR_fin</v>
          </cell>
          <cell r="C350" t="str">
            <v>RHNM-SHSOL</v>
          </cell>
          <cell r="D350"/>
          <cell r="E350">
            <v>4.0035991403271957E-2</v>
          </cell>
          <cell r="F350">
            <v>3.2379294887495706E-4</v>
          </cell>
          <cell r="G350">
            <v>3.302647543040104E-4</v>
          </cell>
          <cell r="H350">
            <v>3.9899011351402094E-4</v>
          </cell>
          <cell r="I350">
            <v>3.3686132221972029E-4</v>
          </cell>
          <cell r="J350"/>
          <cell r="K350"/>
        </row>
        <row r="351">
          <cell r="A351" t="str">
            <v>RHNM-SHDEM</v>
          </cell>
          <cell r="B351" t="str">
            <v>VAR_fin</v>
          </cell>
          <cell r="C351" t="str">
            <v>RHNM-SHLTHC-WOD</v>
          </cell>
          <cell r="D351"/>
          <cell r="E351">
            <v>6.064124711386446E-3</v>
          </cell>
          <cell r="F351">
            <v>5.2729577707924829E-5</v>
          </cell>
          <cell r="G351"/>
          <cell r="H351">
            <v>4.2127866702605624E-5</v>
          </cell>
          <cell r="I351">
            <v>3.91534091596294E-6</v>
          </cell>
          <cell r="J351"/>
          <cell r="K351"/>
        </row>
        <row r="352">
          <cell r="A352" t="str">
            <v>RHNM-SHDEM</v>
          </cell>
          <cell r="B352" t="str">
            <v>VAR_fin</v>
          </cell>
          <cell r="C352" t="str">
            <v>RHNM-SHNGAH</v>
          </cell>
          <cell r="D352"/>
          <cell r="E352">
            <v>8.5072769407733961E-3</v>
          </cell>
          <cell r="F352">
            <v>0.23038899696149726</v>
          </cell>
          <cell r="G352">
            <v>0.68699212665612341</v>
          </cell>
          <cell r="H352">
            <v>1.290831873595371</v>
          </cell>
          <cell r="I352">
            <v>1.7615520058833287</v>
          </cell>
          <cell r="J352"/>
          <cell r="K352"/>
        </row>
        <row r="353">
          <cell r="A353" t="str">
            <v>RHNM-SHDEM</v>
          </cell>
          <cell r="B353" t="str">
            <v>VAR_fin</v>
          </cell>
          <cell r="C353" t="str">
            <v>RHNM-SHNGA</v>
          </cell>
          <cell r="D353"/>
          <cell r="E353">
            <v>0.55506854434903241</v>
          </cell>
          <cell r="F353">
            <v>0.16140926805282305</v>
          </cell>
          <cell r="G353">
            <v>0.27630583178313978</v>
          </cell>
          <cell r="H353">
            <v>0.37288684664345068</v>
          </cell>
          <cell r="I353">
            <v>0.31922454845812909</v>
          </cell>
          <cell r="J353"/>
          <cell r="K353"/>
        </row>
        <row r="354">
          <cell r="A354" t="str">
            <v>SCOM-STG-ELCSPEC</v>
          </cell>
          <cell r="B354" t="str">
            <v>VAR_fout</v>
          </cell>
          <cell r="C354" t="str">
            <v>SCOM-ELS</v>
          </cell>
          <cell r="D354"/>
          <cell r="E354">
            <v>1.1124035846509495E-2</v>
          </cell>
          <cell r="F354">
            <v>1.1285974562475664E-2</v>
          </cell>
          <cell r="G354">
            <v>1.1502153805575802E-2</v>
          </cell>
          <cell r="H354">
            <v>1.2858371466338956E-2</v>
          </cell>
          <cell r="I354">
            <v>1.2872393094025703E-2</v>
          </cell>
          <cell r="J354"/>
          <cell r="K354"/>
        </row>
        <row r="355">
          <cell r="A355" t="str">
            <v>SCOM-STG-ELCSPEC</v>
          </cell>
          <cell r="B355" t="str">
            <v>VAR_fin</v>
          </cell>
          <cell r="C355" t="str">
            <v>SCOM-ELS</v>
          </cell>
          <cell r="D355"/>
          <cell r="E355">
            <v>1.1126035968516738E-2</v>
          </cell>
          <cell r="F355">
            <v>1.1287960889423783E-2</v>
          </cell>
          <cell r="G355">
            <v>1.1504189017442828E-2</v>
          </cell>
          <cell r="H355">
            <v>1.2860406678205986E-2</v>
          </cell>
          <cell r="I355">
            <v>1.2873410699959115E-2</v>
          </cell>
          <cell r="J355"/>
          <cell r="K355"/>
        </row>
        <row r="356">
          <cell r="A356" t="str">
            <v>SCOM-STG-ELCSPEC</v>
          </cell>
          <cell r="B356" t="str">
            <v>VAR_ncap</v>
          </cell>
          <cell r="C356" t="str">
            <v>-</v>
          </cell>
          <cell r="D356"/>
          <cell r="E356">
            <v>4.1987133502723099E-4</v>
          </cell>
          <cell r="F356">
            <v>4.6722822132943803E-6</v>
          </cell>
          <cell r="G356">
            <v>2.4585541208933399E-6</v>
          </cell>
          <cell r="H356">
            <v>2.0398572737716E-4</v>
          </cell>
          <cell r="I356">
            <v>2.3307676510137199E-4</v>
          </cell>
          <cell r="J356"/>
          <cell r="K356"/>
        </row>
        <row r="357">
          <cell r="A357" t="str">
            <v>SCOM-STG-ELCSPEC</v>
          </cell>
          <cell r="B357" t="str">
            <v>VAR_cap</v>
          </cell>
          <cell r="C357" t="str">
            <v>-</v>
          </cell>
          <cell r="D357"/>
          <cell r="E357">
            <v>4.1987133502723099E-4</v>
          </cell>
          <cell r="F357">
            <v>4.2428620890969169E-4</v>
          </cell>
          <cell r="G357">
            <v>4.2617132902757264E-4</v>
          </cell>
          <cell r="H357">
            <v>4.7499495720285269E-4</v>
          </cell>
          <cell r="I357">
            <v>4.7573318261722873E-4</v>
          </cell>
          <cell r="J357"/>
          <cell r="K357"/>
        </row>
        <row r="358">
          <cell r="A358" t="str">
            <v>SCOM-SHCONBR7</v>
          </cell>
          <cell r="B358" t="str">
            <v>VAR_fout</v>
          </cell>
          <cell r="C358" t="str">
            <v>SCOM-SHCON</v>
          </cell>
          <cell r="G358"/>
          <cell r="H358"/>
          <cell r="I358">
            <v>1.6604069895188297E-4</v>
          </cell>
          <cell r="J358"/>
          <cell r="K358"/>
        </row>
        <row r="359">
          <cell r="A359" t="str">
            <v>SCOM-SHCONBR7</v>
          </cell>
          <cell r="B359" t="str">
            <v>VAR_fin</v>
          </cell>
          <cell r="C359" t="str">
            <v>CON</v>
          </cell>
          <cell r="D359"/>
          <cell r="E359"/>
          <cell r="F359"/>
          <cell r="G359"/>
          <cell r="H359"/>
          <cell r="I359">
            <v>1.6604069895188297E-4</v>
          </cell>
          <cell r="J359"/>
          <cell r="K359"/>
        </row>
        <row r="360">
          <cell r="A360" t="str">
            <v>SCOM-SHCONBR7</v>
          </cell>
          <cell r="B360" t="str">
            <v>VAR_ncap</v>
          </cell>
          <cell r="C360" t="str">
            <v>-</v>
          </cell>
          <cell r="D360"/>
          <cell r="G360"/>
          <cell r="H360"/>
          <cell r="I360">
            <v>1.3455785503790801E-5</v>
          </cell>
          <cell r="J360"/>
          <cell r="K360"/>
        </row>
        <row r="361">
          <cell r="A361" t="str">
            <v>SCOM-SHCONBR7</v>
          </cell>
          <cell r="B361" t="str">
            <v>VAR_cap</v>
          </cell>
          <cell r="C361" t="str">
            <v>-</v>
          </cell>
          <cell r="D361"/>
          <cell r="G361"/>
          <cell r="H361"/>
          <cell r="I361">
            <v>1.3455785503790801E-5</v>
          </cell>
          <cell r="J361"/>
          <cell r="K361"/>
        </row>
        <row r="362">
          <cell r="A362" t="str">
            <v>SCOM-SHCONBR8</v>
          </cell>
          <cell r="B362" t="str">
            <v>VAR_fout</v>
          </cell>
          <cell r="C362" t="str">
            <v>SCOM-SHCON</v>
          </cell>
          <cell r="D362"/>
          <cell r="G362"/>
          <cell r="H362"/>
          <cell r="I362">
            <v>4.4665208850558762E-5</v>
          </cell>
          <cell r="J362"/>
          <cell r="K362"/>
        </row>
        <row r="363">
          <cell r="A363" t="str">
            <v>SCOM-SHCONBR8</v>
          </cell>
          <cell r="B363" t="str">
            <v>VAR_fin</v>
          </cell>
          <cell r="C363" t="str">
            <v>CON</v>
          </cell>
          <cell r="D363"/>
          <cell r="G363"/>
          <cell r="H363"/>
          <cell r="I363">
            <v>4.4665208850558762E-5</v>
          </cell>
          <cell r="J363"/>
          <cell r="K363"/>
        </row>
        <row r="364">
          <cell r="A364" t="str">
            <v>SCOM-SHCONBR8</v>
          </cell>
          <cell r="B364" t="str">
            <v>VAR_ncap</v>
          </cell>
          <cell r="C364" t="str">
            <v>-</v>
          </cell>
          <cell r="D364"/>
          <cell r="G364"/>
          <cell r="H364"/>
          <cell r="I364">
            <v>2.3487072281884699E-6</v>
          </cell>
          <cell r="J364"/>
        </row>
        <row r="365">
          <cell r="A365" t="str">
            <v>SCOM-SHCONBR8</v>
          </cell>
          <cell r="B365" t="str">
            <v>VAR_cap</v>
          </cell>
          <cell r="C365" t="str">
            <v>-</v>
          </cell>
          <cell r="D365"/>
          <cell r="G365"/>
          <cell r="H365"/>
          <cell r="I365">
            <v>2.3487072281884699E-6</v>
          </cell>
          <cell r="J365"/>
        </row>
        <row r="366">
          <cell r="A366" t="str">
            <v>ITOT-ELCSPEC</v>
          </cell>
          <cell r="B366" t="str">
            <v>VAR_fout</v>
          </cell>
          <cell r="C366" t="str">
            <v>ITOT-ELS</v>
          </cell>
          <cell r="D366">
            <v>48.063397652170998</v>
          </cell>
          <cell r="E366">
            <v>49.866376137381209</v>
          </cell>
          <cell r="F366">
            <v>51.11604685110175</v>
          </cell>
          <cell r="G366">
            <v>52.53573083680331</v>
          </cell>
          <cell r="H366">
            <v>52.889288290933663</v>
          </cell>
          <cell r="I366">
            <v>53.241338383549426</v>
          </cell>
          <cell r="J366"/>
          <cell r="K366"/>
        </row>
        <row r="367">
          <cell r="A367" t="str">
            <v>ITOT-ELCSPEC</v>
          </cell>
          <cell r="B367" t="str">
            <v>VAR_fin</v>
          </cell>
          <cell r="C367" t="str">
            <v>ITOT_ELC</v>
          </cell>
          <cell r="D367">
            <v>48.063397652170998</v>
          </cell>
          <cell r="E367">
            <v>49.866376137381209</v>
          </cell>
          <cell r="F367">
            <v>51.11604685110175</v>
          </cell>
          <cell r="G367">
            <v>52.53573083680331</v>
          </cell>
          <cell r="H367">
            <v>52.889288290933663</v>
          </cell>
          <cell r="I367">
            <v>53.241338383549426</v>
          </cell>
          <cell r="J367"/>
          <cell r="K367"/>
        </row>
        <row r="368">
          <cell r="A368" t="str">
            <v>ITOT-ELCSPEC</v>
          </cell>
          <cell r="B368" t="str">
            <v>VAR_ncap</v>
          </cell>
          <cell r="C368" t="str">
            <v>-</v>
          </cell>
          <cell r="D368">
            <v>8.3498936040466001E-2</v>
          </cell>
          <cell r="E368">
            <v>9.8050572346698506E-2</v>
          </cell>
          <cell r="F368">
            <v>6.7961696306607602E-2</v>
          </cell>
          <cell r="G368">
            <v>7.7208362784852796E-2</v>
          </cell>
          <cell r="H368">
            <v>2.93135797507828E-6</v>
          </cell>
          <cell r="I368">
            <v>2.5250810761809199</v>
          </cell>
          <cell r="J368"/>
        </row>
        <row r="369">
          <cell r="A369" t="str">
            <v>ITOT-ELCSPEC</v>
          </cell>
          <cell r="B369" t="str">
            <v>VAR_cap</v>
          </cell>
          <cell r="C369" t="str">
            <v>-</v>
          </cell>
          <cell r="D369">
            <v>2.6138261680731762</v>
          </cell>
          <cell r="E369">
            <v>2.7118763123866083</v>
          </cell>
          <cell r="F369">
            <v>2.7798369847116469</v>
          </cell>
          <cell r="G369">
            <v>2.8570430084207858</v>
          </cell>
          <cell r="H369">
            <v>2.8762732563727376</v>
          </cell>
          <cell r="I369">
            <v>2.8954153744043736</v>
          </cell>
          <cell r="J369"/>
          <cell r="K369"/>
        </row>
        <row r="370">
          <cell r="A370" t="str">
            <v>RHNM-SHLTHDH</v>
          </cell>
          <cell r="B370" t="str">
            <v>VAR_fout</v>
          </cell>
          <cell r="C370" t="str">
            <v>RHNM-SHLTHD</v>
          </cell>
          <cell r="E370">
            <v>0.34666931802131018</v>
          </cell>
          <cell r="F370">
            <v>5.9324830458331076E-2</v>
          </cell>
          <cell r="G370">
            <v>0.11047967960198281</v>
          </cell>
          <cell r="H370">
            <v>0.17659801575067052</v>
          </cell>
          <cell r="I370">
            <v>0.2235865587675078</v>
          </cell>
          <cell r="J370"/>
          <cell r="K370"/>
        </row>
        <row r="371">
          <cell r="A371" t="str">
            <v>RHNM-SHLTHDH</v>
          </cell>
          <cell r="B371" t="str">
            <v>VAR_fin</v>
          </cell>
          <cell r="C371" t="str">
            <v>RHNMLTHDHC</v>
          </cell>
          <cell r="E371">
            <v>0.34666931802131018</v>
          </cell>
          <cell r="F371">
            <v>5.9324830458331076E-2</v>
          </cell>
          <cell r="G371">
            <v>0.11047967960198281</v>
          </cell>
          <cell r="H371">
            <v>0.17659801575067052</v>
          </cell>
          <cell r="I371">
            <v>0.2235865587675078</v>
          </cell>
          <cell r="J371"/>
          <cell r="K371"/>
        </row>
        <row r="372">
          <cell r="A372" t="str">
            <v>RHNM-SHLTHDH</v>
          </cell>
          <cell r="B372" t="str">
            <v>VAR_fin</v>
          </cell>
          <cell r="C372" t="str">
            <v>RHNM_LTH_DH</v>
          </cell>
          <cell r="E372">
            <v>0.35017102830435387</v>
          </cell>
          <cell r="F372">
            <v>6.5644925768868115E-2</v>
          </cell>
          <cell r="G372">
            <v>0.12191524370646675</v>
          </cell>
          <cell r="H372">
            <v>0.19423159140681345</v>
          </cell>
          <cell r="I372">
            <v>0.245912010630398</v>
          </cell>
          <cell r="J372"/>
          <cell r="K372"/>
        </row>
        <row r="373">
          <cell r="A373" t="str">
            <v>RHNM-SHLTHDH</v>
          </cell>
          <cell r="B373" t="str">
            <v>VAR_ncap</v>
          </cell>
          <cell r="C373" t="str">
            <v>-</v>
          </cell>
          <cell r="D373"/>
          <cell r="E373">
            <v>3.63806252913908E-2</v>
          </cell>
          <cell r="F373">
            <v>1.0930038381769E-2</v>
          </cell>
          <cell r="G373">
            <v>1.7144326216170399E-2</v>
          </cell>
          <cell r="H373">
            <v>1.8068410217167E-2</v>
          </cell>
          <cell r="I373">
            <v>3.27919961252823E-3</v>
          </cell>
          <cell r="J373"/>
        </row>
        <row r="374">
          <cell r="A374" t="str">
            <v>RHNM-SHLTHDH</v>
          </cell>
          <cell r="B374" t="str">
            <v>VAR_cap</v>
          </cell>
          <cell r="C374" t="str">
            <v>-</v>
          </cell>
          <cell r="E374">
            <v>3.63806252913908E-2</v>
          </cell>
          <cell r="F374">
            <v>2.0809348682681302E-2</v>
          </cell>
          <cell r="G374">
            <v>3.1737124366246199E-2</v>
          </cell>
          <cell r="H374">
            <v>5.5479742238160601E-2</v>
          </cell>
          <cell r="I374">
            <v>2.1580518521270395E-2</v>
          </cell>
          <cell r="J374"/>
          <cell r="K374"/>
        </row>
        <row r="375">
          <cell r="A375" t="str">
            <v>SCOM-SHCONBR9</v>
          </cell>
          <cell r="B375" t="str">
            <v>VAR_fout</v>
          </cell>
          <cell r="C375" t="str">
            <v>SCOM-SHCON</v>
          </cell>
          <cell r="G375"/>
          <cell r="H375"/>
          <cell r="I375">
            <v>1.656968316575162E-5</v>
          </cell>
          <cell r="J375"/>
          <cell r="K375"/>
        </row>
        <row r="376">
          <cell r="A376" t="str">
            <v>SCOM-SHCONBR9</v>
          </cell>
          <cell r="B376" t="str">
            <v>VAR_fin</v>
          </cell>
          <cell r="C376" t="str">
            <v>CON</v>
          </cell>
          <cell r="G376"/>
          <cell r="H376"/>
          <cell r="I376">
            <v>1.656968316575162E-5</v>
          </cell>
          <cell r="J376"/>
          <cell r="K376"/>
        </row>
        <row r="377">
          <cell r="A377" t="str">
            <v>SCOM-SHCONBR9</v>
          </cell>
          <cell r="B377" t="str">
            <v>VAR_ncap</v>
          </cell>
          <cell r="C377" t="str">
            <v>-</v>
          </cell>
          <cell r="D377"/>
          <cell r="G377"/>
          <cell r="H377"/>
          <cell r="I377">
            <v>3.1370324054779898E-7</v>
          </cell>
          <cell r="J377"/>
          <cell r="K377"/>
        </row>
        <row r="378">
          <cell r="A378" t="str">
            <v>SCOM-SHCONBR9</v>
          </cell>
          <cell r="B378" t="str">
            <v>VAR_cap</v>
          </cell>
          <cell r="C378" t="str">
            <v>-</v>
          </cell>
          <cell r="G378"/>
          <cell r="H378"/>
          <cell r="I378">
            <v>3.1370324054779898E-7</v>
          </cell>
          <cell r="J378"/>
          <cell r="K378"/>
        </row>
        <row r="379">
          <cell r="A379" t="str">
            <v>ITOT-SWHCOABR</v>
          </cell>
          <cell r="B379" t="str">
            <v>VAR_fout</v>
          </cell>
          <cell r="C379" t="str">
            <v>ITOT-SWH</v>
          </cell>
          <cell r="D379">
            <v>2.367413439314785</v>
          </cell>
          <cell r="E379">
            <v>2.3075040994981739</v>
          </cell>
          <cell r="F379">
            <v>2.1536128786430941</v>
          </cell>
          <cell r="G379">
            <v>4.3117980798376633E-4</v>
          </cell>
          <cell r="H379">
            <v>4.2718550087649372E-4</v>
          </cell>
          <cell r="I379">
            <v>2.365966212600318E-4</v>
          </cell>
          <cell r="J379"/>
          <cell r="K379"/>
        </row>
        <row r="380">
          <cell r="A380" t="str">
            <v>ITOT-SWHCOABR</v>
          </cell>
          <cell r="B380" t="str">
            <v>VAR_fout</v>
          </cell>
          <cell r="C380" t="str">
            <v>CO2_I</v>
          </cell>
          <cell r="D380">
            <v>330.01387342027198</v>
          </cell>
          <cell r="E380">
            <v>321.17962465988097</v>
          </cell>
          <cell r="F380">
            <v>299.08601325874901</v>
          </cell>
          <cell r="G380">
            <v>5.9657265970291203E-2</v>
          </cell>
          <cell r="H380">
            <v>5.8666808787038498E-2</v>
          </cell>
          <cell r="I380">
            <v>3.2253686457066097E-2</v>
          </cell>
          <cell r="J380"/>
          <cell r="K380"/>
        </row>
        <row r="381">
          <cell r="A381" t="str">
            <v>ITOT-SWHCOABR</v>
          </cell>
          <cell r="B381" t="str">
            <v>VAR_fin</v>
          </cell>
          <cell r="C381" t="str">
            <v>ICOA</v>
          </cell>
          <cell r="D381">
            <v>3.5600202094959159</v>
          </cell>
          <cell r="E381">
            <v>3.4647208701173744</v>
          </cell>
          <cell r="F381">
            <v>3.2263863350458362</v>
          </cell>
          <cell r="G381">
            <v>6.4355195221457641E-4</v>
          </cell>
          <cell r="H381">
            <v>6.3286740870591672E-4</v>
          </cell>
          <cell r="I381">
            <v>3.4793620773534078E-4</v>
          </cell>
          <cell r="J381"/>
          <cell r="K381"/>
        </row>
        <row r="382">
          <cell r="A382" t="str">
            <v>ITOT-SWHCOABR</v>
          </cell>
          <cell r="B382" t="str">
            <v>VAR_ncap</v>
          </cell>
          <cell r="C382" t="str">
            <v>-</v>
          </cell>
          <cell r="D382"/>
          <cell r="E382">
            <v>3.9955972384032197E-6</v>
          </cell>
          <cell r="F382">
            <v>4.5538370352441497E-6</v>
          </cell>
          <cell r="G382">
            <v>7.6266126911536699E-6</v>
          </cell>
          <cell r="H382">
            <v>5.9943825190438098E-6</v>
          </cell>
          <cell r="I382">
            <v>8.5293418970890101E-6</v>
          </cell>
          <cell r="J382"/>
          <cell r="K382"/>
        </row>
        <row r="383">
          <cell r="A383" t="str">
            <v>ITOT-SWHCOABR</v>
          </cell>
          <cell r="B383" t="str">
            <v>VAR_cap</v>
          </cell>
          <cell r="C383" t="str">
            <v>-</v>
          </cell>
          <cell r="D383">
            <v>0.26172155007150499</v>
          </cell>
          <cell r="E383">
            <v>0.1566039414791934</v>
          </cell>
          <cell r="F383">
            <v>0.14342863534684663</v>
          </cell>
          <cell r="G383">
            <v>4.1030595670787928E-5</v>
          </cell>
          <cell r="H383">
            <v>4.0477770750096503E-5</v>
          </cell>
          <cell r="I383">
            <v>2.2574532848682472E-5</v>
          </cell>
          <cell r="J383"/>
          <cell r="K383"/>
        </row>
        <row r="384">
          <cell r="A384" t="str">
            <v>RHSA-WHDEM</v>
          </cell>
          <cell r="B384" t="str">
            <v>VAR_fout</v>
          </cell>
          <cell r="C384" t="str">
            <v>RHSA-WHD</v>
          </cell>
          <cell r="D384">
            <v>26.438654975424289</v>
          </cell>
          <cell r="E384">
            <v>25.92879146371218</v>
          </cell>
          <cell r="F384">
            <v>21.653566855299896</v>
          </cell>
          <cell r="G384">
            <v>22.581002266516382</v>
          </cell>
          <cell r="H384">
            <v>25.58549091516856</v>
          </cell>
          <cell r="I384">
            <v>29.065050821089201</v>
          </cell>
          <cell r="J384"/>
          <cell r="K384"/>
        </row>
        <row r="385">
          <cell r="A385" t="str">
            <v>RHSA-WHDEM</v>
          </cell>
          <cell r="B385" t="str">
            <v>VAR_fin</v>
          </cell>
          <cell r="C385" t="str">
            <v>RHSA-WHNGA</v>
          </cell>
          <cell r="D385">
            <v>6.1960584788546607</v>
          </cell>
          <cell r="E385">
            <v>5.5409737548272364</v>
          </cell>
          <cell r="F385">
            <v>5.436469049687072</v>
          </cell>
          <cell r="G385">
            <v>4.462343750991181</v>
          </cell>
          <cell r="H385">
            <v>3.0830119907438611</v>
          </cell>
          <cell r="I385">
            <v>2.0069252633580352</v>
          </cell>
          <cell r="J385"/>
          <cell r="K385"/>
        </row>
        <row r="386">
          <cell r="A386" t="str">
            <v>RHSA-WHDEM</v>
          </cell>
          <cell r="B386" t="str">
            <v>VAR_fin</v>
          </cell>
          <cell r="C386" t="str">
            <v>RHSA-WHLFO</v>
          </cell>
          <cell r="D386">
            <v>6.8076289584310343</v>
          </cell>
          <cell r="E386">
            <v>5.5423483548996249</v>
          </cell>
          <cell r="F386">
            <v>4.617714126948937</v>
          </cell>
          <cell r="G386">
            <v>3.058961054264584</v>
          </cell>
          <cell r="H386">
            <v>1.7720274469614028</v>
          </cell>
          <cell r="I386">
            <v>0.83123007821796147</v>
          </cell>
          <cell r="J386"/>
        </row>
        <row r="387">
          <cell r="A387" t="str">
            <v>RHSA-WHDEM</v>
          </cell>
          <cell r="B387" t="str">
            <v>VAR_fin</v>
          </cell>
          <cell r="C387" t="str">
            <v>RHSA-WHWOD</v>
          </cell>
          <cell r="D387">
            <v>0.56039455344532807</v>
          </cell>
          <cell r="E387">
            <v>0.59701074367442974</v>
          </cell>
          <cell r="F387">
            <v>1.1897195532786069</v>
          </cell>
          <cell r="G387">
            <v>1.2834743031523312</v>
          </cell>
          <cell r="H387">
            <v>1.3649092117868726</v>
          </cell>
          <cell r="I387">
            <v>1.4203754459138427</v>
          </cell>
          <cell r="J387"/>
        </row>
        <row r="388">
          <cell r="A388" t="str">
            <v>RHSA-WHDEM</v>
          </cell>
          <cell r="B388" t="str">
            <v>VAR_fin</v>
          </cell>
          <cell r="C388" t="str">
            <v>RHSA-WHNGAH</v>
          </cell>
          <cell r="D388">
            <v>2.1381325101865436E-2</v>
          </cell>
          <cell r="E388">
            <v>6.5435720686797077E-5</v>
          </cell>
          <cell r="F388">
            <v>0.90664351914878105</v>
          </cell>
          <cell r="G388">
            <v>2.2219139010788806</v>
          </cell>
          <cell r="H388">
            <v>4.2536082718558754</v>
          </cell>
          <cell r="I388">
            <v>6.1825677285420673</v>
          </cell>
          <cell r="J388"/>
        </row>
        <row r="389">
          <cell r="A389" t="str">
            <v>RHSA-WHDEM</v>
          </cell>
          <cell r="B389" t="str">
            <v>VAR_fin</v>
          </cell>
          <cell r="C389" t="str">
            <v>RHSA-WHNST</v>
          </cell>
          <cell r="D389">
            <v>7.4423988694848314E-2</v>
          </cell>
          <cell r="E389">
            <v>2.524794591761401E-4</v>
          </cell>
          <cell r="F389">
            <v>5.9658765912479081E-6</v>
          </cell>
          <cell r="G389">
            <v>2.9820074290069513E-6</v>
          </cell>
          <cell r="H389"/>
          <cell r="I389"/>
          <cell r="J389"/>
          <cell r="K389"/>
        </row>
        <row r="390">
          <cell r="A390" t="str">
            <v>RHSA-WHDEM</v>
          </cell>
          <cell r="B390" t="str">
            <v>VAR_fin</v>
          </cell>
          <cell r="C390" t="str">
            <v>RHSA-WHPLT</v>
          </cell>
          <cell r="D390">
            <v>0.27564965493035609</v>
          </cell>
          <cell r="E390">
            <v>0.19461858517161135</v>
          </cell>
          <cell r="F390">
            <v>8.5721835134513841E-2</v>
          </cell>
          <cell r="G390">
            <v>0.14587511775508175</v>
          </cell>
          <cell r="H390">
            <v>0.23635846157953205</v>
          </cell>
          <cell r="I390">
            <v>0.32073165029390949</v>
          </cell>
          <cell r="J390"/>
          <cell r="K390"/>
        </row>
        <row r="391">
          <cell r="A391" t="str">
            <v>RHSA-WHDEM</v>
          </cell>
          <cell r="B391" t="str">
            <v>VAR_fin</v>
          </cell>
          <cell r="C391" t="str">
            <v>RHSA-WHLTHRD</v>
          </cell>
          <cell r="D391">
            <v>1.2797712343976799</v>
          </cell>
          <cell r="E391">
            <v>1.4631341146414947</v>
          </cell>
          <cell r="F391">
            <v>0.95043030919678129</v>
          </cell>
          <cell r="G391">
            <v>1.1686843242711993</v>
          </cell>
          <cell r="H391">
            <v>1.4375072325366991</v>
          </cell>
          <cell r="I391">
            <v>1.6688262035391805</v>
          </cell>
          <cell r="J391"/>
          <cell r="K391"/>
        </row>
        <row r="392">
          <cell r="A392" t="str">
            <v>RHSA-WHDEM</v>
          </cell>
          <cell r="B392" t="str">
            <v>VAR_fin</v>
          </cell>
          <cell r="C392" t="str">
            <v>RHSA-WHELCB</v>
          </cell>
          <cell r="D392">
            <v>6.4504422599153299</v>
          </cell>
          <cell r="E392">
            <v>6.9684656456841445</v>
          </cell>
          <cell r="F392">
            <v>2.8215151196645891</v>
          </cell>
          <cell r="G392">
            <v>2.2281223751722528</v>
          </cell>
          <cell r="H392">
            <v>1.8868404933428571</v>
          </cell>
          <cell r="I392">
            <v>1.6959093980102578</v>
          </cell>
          <cell r="J392"/>
          <cell r="K392"/>
        </row>
        <row r="393">
          <cell r="A393" t="str">
            <v>RHSA-WHDEM</v>
          </cell>
          <cell r="B393" t="str">
            <v>VAR_fin</v>
          </cell>
          <cell r="C393" t="str">
            <v>RHSA-WHSOL</v>
          </cell>
          <cell r="D393">
            <v>1.6621037240783738</v>
          </cell>
          <cell r="E393">
            <v>1.9868848517129489</v>
          </cell>
          <cell r="F393">
            <v>0.9051326504948034</v>
          </cell>
          <cell r="G393">
            <v>1.0747080495263552</v>
          </cell>
          <cell r="H393">
            <v>1.2917953362386072</v>
          </cell>
          <cell r="I393">
            <v>1.4999344928798057</v>
          </cell>
          <cell r="J393"/>
          <cell r="K393"/>
        </row>
        <row r="394">
          <cell r="A394" t="str">
            <v>RHSA-WHDEM</v>
          </cell>
          <cell r="B394" t="str">
            <v>VAR_fin</v>
          </cell>
          <cell r="C394" t="str">
            <v>RHSA-WHELCH</v>
          </cell>
          <cell r="D394">
            <v>3.1109477738557048</v>
          </cell>
          <cell r="E394">
            <v>3.6352143661217733</v>
          </cell>
          <cell r="F394">
            <v>4.7404216775265757</v>
          </cell>
          <cell r="G394">
            <v>6.937108548840448</v>
          </cell>
          <cell r="H394">
            <v>10.259572020525486</v>
          </cell>
          <cell r="I394">
            <v>13.438684267081356</v>
          </cell>
          <cell r="J394"/>
          <cell r="K394"/>
        </row>
        <row r="395">
          <cell r="A395" t="str">
            <v>RHSA-WHNGAHP</v>
          </cell>
          <cell r="B395" t="str">
            <v>VAR_fout</v>
          </cell>
          <cell r="C395" t="str">
            <v>RHSA-WHANGAH</v>
          </cell>
          <cell r="F395">
            <v>0.90664567640914995</v>
          </cell>
          <cell r="G395">
            <v>2.2219112443254847</v>
          </cell>
          <cell r="H395">
            <v>4.2535991595996023</v>
          </cell>
          <cell r="I395">
            <v>6.1825657187638843</v>
          </cell>
          <cell r="J395"/>
          <cell r="K395"/>
        </row>
        <row r="396">
          <cell r="A396" t="str">
            <v>RHSA-WHNGAHP</v>
          </cell>
          <cell r="B396" t="str">
            <v>VAR_fout</v>
          </cell>
          <cell r="C396" t="str">
            <v>CO2_R</v>
          </cell>
          <cell r="D396"/>
          <cell r="F396">
            <v>25.5123377698825</v>
          </cell>
          <cell r="G396">
            <v>57.762483990085897</v>
          </cell>
          <cell r="H396">
            <v>101.935384424082</v>
          </cell>
          <cell r="I396">
            <v>137.827314802046</v>
          </cell>
          <cell r="J396"/>
          <cell r="K396"/>
        </row>
        <row r="397">
          <cell r="A397" t="str">
            <v>RHSA-WHNGAHP</v>
          </cell>
          <cell r="B397" t="str">
            <v>VAR_fin</v>
          </cell>
          <cell r="C397" t="str">
            <v>RNGA</v>
          </cell>
          <cell r="F397">
            <v>0.45234641435961892</v>
          </cell>
          <cell r="G397">
            <v>1.0241575175547155</v>
          </cell>
          <cell r="H397">
            <v>1.8073649720581859</v>
          </cell>
          <cell r="I397">
            <v>2.4437467163483366</v>
          </cell>
          <cell r="J397"/>
        </row>
        <row r="398">
          <cell r="A398" t="str">
            <v>RHSA-WHNGAHP</v>
          </cell>
          <cell r="B398" t="str">
            <v>VAR_ncap</v>
          </cell>
          <cell r="C398" t="str">
            <v>-</v>
          </cell>
          <cell r="E398">
            <v>2.1723060759782E-7</v>
          </cell>
          <cell r="F398">
            <v>6.0049985865626501E-2</v>
          </cell>
          <cell r="G398">
            <v>8.7067005616076706E-2</v>
          </cell>
          <cell r="H398">
            <v>0.141316940586489</v>
          </cell>
          <cell r="I398">
            <v>0.28647096647738102</v>
          </cell>
        </row>
        <row r="399">
          <cell r="A399" t="str">
            <v>RHSA-WHNGAHP</v>
          </cell>
          <cell r="B399" t="str">
            <v>VAR_cap</v>
          </cell>
          <cell r="C399" t="str">
            <v>-</v>
          </cell>
          <cell r="D399">
            <v>4.7729432218241499E-11</v>
          </cell>
          <cell r="E399">
            <v>-3.1225188015708173E-7</v>
          </cell>
          <cell r="F399">
            <v>6.004989726769324E-2</v>
          </cell>
          <cell r="G399">
            <v>0.14711693404728002</v>
          </cell>
          <cell r="H399">
            <v>0.29074169668478206</v>
          </cell>
          <cell r="I399">
            <v>0.42258262812144071</v>
          </cell>
          <cell r="J399"/>
        </row>
        <row r="400">
          <cell r="A400" t="str">
            <v>SCOM-SHSTG-ELCHP</v>
          </cell>
          <cell r="B400" t="str">
            <v>VAR_fout</v>
          </cell>
          <cell r="C400" t="str">
            <v>SCOM-SHAELCH</v>
          </cell>
          <cell r="D400">
            <v>4.5878559375673084E-5</v>
          </cell>
          <cell r="E400">
            <v>4.2924520909130552E-5</v>
          </cell>
          <cell r="F400">
            <v>8.1678330100821758E-5</v>
          </cell>
          <cell r="G400">
            <v>3.922349984320145E-5</v>
          </cell>
          <cell r="H400">
            <v>2.7328007646298535E-5</v>
          </cell>
          <cell r="I400">
            <v>5.2830805369238495E-6</v>
          </cell>
          <cell r="J400"/>
        </row>
        <row r="401">
          <cell r="A401" t="str">
            <v>SCOM-SHSTG-ELCHP</v>
          </cell>
          <cell r="B401" t="str">
            <v>VAR_fin</v>
          </cell>
          <cell r="C401" t="str">
            <v>SCOM-SHAELCH</v>
          </cell>
          <cell r="D401">
            <v>5.6452286921373061E-5</v>
          </cell>
          <cell r="E401">
            <v>4.7790295923370133E-5</v>
          </cell>
          <cell r="F401">
            <v>9.9492035618165551E-5</v>
          </cell>
          <cell r="G401">
            <v>4.5246901832204956E-5</v>
          </cell>
          <cell r="H401">
            <v>3.262685175997815E-5</v>
          </cell>
          <cell r="I401">
            <v>4.5254228109894279E-6</v>
          </cell>
          <cell r="J401"/>
          <cell r="K401"/>
        </row>
        <row r="402">
          <cell r="A402" t="str">
            <v>SCOM-SHSTG-ELCHP</v>
          </cell>
          <cell r="B402" t="str">
            <v>VAR_ncap</v>
          </cell>
          <cell r="C402" t="str">
            <v>-</v>
          </cell>
          <cell r="D402">
            <v>1.1047294421490101E-2</v>
          </cell>
          <cell r="E402">
            <v>9.0309138648378307E-2</v>
          </cell>
          <cell r="F402">
            <v>4.5678815092516498E-5</v>
          </cell>
          <cell r="G402">
            <v>3.2592870266255E-2</v>
          </cell>
          <cell r="H402">
            <v>9.4354842642062606E-2</v>
          </cell>
          <cell r="I402">
            <v>0.17120027510958299</v>
          </cell>
          <cell r="J402"/>
          <cell r="K402"/>
        </row>
        <row r="403">
          <cell r="A403" t="str">
            <v>SCOM-SHSTG-ELCHP</v>
          </cell>
          <cell r="B403" t="str">
            <v>VAR_cap</v>
          </cell>
          <cell r="C403" t="str">
            <v>-</v>
          </cell>
          <cell r="D403">
            <v>1.1047294421490101E-2</v>
          </cell>
          <cell r="E403">
            <v>0.10132132379591681</v>
          </cell>
          <cell r="F403">
            <v>0.10131971442710289</v>
          </cell>
          <cell r="G403">
            <v>0.13390169431904211</v>
          </cell>
          <cell r="H403">
            <v>0.20583397195541575</v>
          </cell>
          <cell r="I403">
            <v>0.277386366896612</v>
          </cell>
          <cell r="J403"/>
          <cell r="K403"/>
        </row>
        <row r="404">
          <cell r="A404" t="str">
            <v>RHEM-SHLFOBR</v>
          </cell>
          <cell r="B404" t="str">
            <v>VAR_fout</v>
          </cell>
          <cell r="C404" t="str">
            <v>CO2_R</v>
          </cell>
          <cell r="D404">
            <v>1928.71197871289</v>
          </cell>
          <cell r="E404">
            <v>1569.6671914323299</v>
          </cell>
          <cell r="F404">
            <v>1744.7972981630001</v>
          </cell>
          <cell r="G404">
            <v>1153.78173256934</v>
          </cell>
          <cell r="H404">
            <v>638.02899640497105</v>
          </cell>
          <cell r="I404">
            <v>210.78124364408799</v>
          </cell>
          <cell r="J404"/>
          <cell r="K404"/>
        </row>
        <row r="405">
          <cell r="A405" t="str">
            <v>RHEM-SHLFOBR</v>
          </cell>
          <cell r="B405" t="str">
            <v>VAR_fout</v>
          </cell>
          <cell r="C405" t="str">
            <v>RHEM-SHLFO</v>
          </cell>
          <cell r="D405">
            <v>23.443751437317445</v>
          </cell>
          <cell r="E405">
            <v>19.079514142805895</v>
          </cell>
          <cell r="F405">
            <v>20.307392541665806</v>
          </cell>
          <cell r="G405">
            <v>13.678768665330569</v>
          </cell>
          <cell r="H405">
            <v>7.669269678293599</v>
          </cell>
          <cell r="I405">
            <v>2.5433724821333974</v>
          </cell>
          <cell r="J405"/>
          <cell r="K405"/>
        </row>
        <row r="406">
          <cell r="A406" t="str">
            <v>RHEM-SHLFOBR</v>
          </cell>
          <cell r="B406" t="str">
            <v>VAR_fin</v>
          </cell>
          <cell r="C406" t="str">
            <v>RLFO</v>
          </cell>
          <cell r="D406">
            <v>26.169769046307831</v>
          </cell>
          <cell r="E406">
            <v>21.298062298946107</v>
          </cell>
          <cell r="F406">
            <v>23.67431883531885</v>
          </cell>
          <cell r="G406">
            <v>15.655111703790295</v>
          </cell>
          <cell r="H406">
            <v>8.6571098562411173</v>
          </cell>
          <cell r="I406">
            <v>2.8599897373689043</v>
          </cell>
          <cell r="J406"/>
          <cell r="K406"/>
        </row>
        <row r="407">
          <cell r="A407" t="str">
            <v>RHEM-SHLFOBR</v>
          </cell>
          <cell r="B407" t="str">
            <v>VAR_ncap</v>
          </cell>
          <cell r="C407" t="str">
            <v>-</v>
          </cell>
          <cell r="E407">
            <v>1.3735572940715201E-7</v>
          </cell>
          <cell r="F407">
            <v>1.55347372669559E-7</v>
          </cell>
          <cell r="G407">
            <v>2.4618622679872102E-7</v>
          </cell>
          <cell r="H407">
            <v>0.25717594531326299</v>
          </cell>
          <cell r="I407">
            <v>1.41543550955968E-7</v>
          </cell>
          <cell r="K407"/>
        </row>
        <row r="408">
          <cell r="A408" t="str">
            <v>RHEM-SHLFOBR</v>
          </cell>
          <cell r="B408" t="str">
            <v>VAR_cap</v>
          </cell>
          <cell r="C408" t="str">
            <v>-</v>
          </cell>
          <cell r="D408">
            <v>1.65587464377338</v>
          </cell>
          <cell r="E408">
            <v>1.6558591453427187</v>
          </cell>
          <cell r="F408">
            <v>1.655850360491983</v>
          </cell>
          <cell r="G408">
            <v>1.6558434829416226</v>
          </cell>
          <cell r="H408">
            <v>0.54157644108477265</v>
          </cell>
          <cell r="I408">
            <v>0.27752876869261539</v>
          </cell>
          <cell r="J408"/>
          <cell r="K408"/>
        </row>
        <row r="409">
          <cell r="A409" t="str">
            <v>RHES-SHNGAHP</v>
          </cell>
          <cell r="B409" t="str">
            <v>VAR_fout</v>
          </cell>
          <cell r="C409" t="str">
            <v>RHES-SHANGAH</v>
          </cell>
          <cell r="F409">
            <v>2.0482193476145492</v>
          </cell>
          <cell r="G409">
            <v>4.0071273467907007</v>
          </cell>
          <cell r="H409">
            <v>6.2205294123554937</v>
          </cell>
          <cell r="I409">
            <v>7.8138433375708916</v>
          </cell>
          <cell r="J409"/>
          <cell r="K409"/>
        </row>
        <row r="410">
          <cell r="A410" t="str">
            <v>RHES-SHNGAHP</v>
          </cell>
          <cell r="B410" t="str">
            <v>VAR_fout</v>
          </cell>
          <cell r="C410" t="str">
            <v>CO2_R</v>
          </cell>
          <cell r="F410">
            <v>63.722173109816602</v>
          </cell>
          <cell r="G410">
            <v>120.983539238246</v>
          </cell>
          <cell r="H410">
            <v>181.834399155477</v>
          </cell>
          <cell r="I410">
            <v>222.606901608356</v>
          </cell>
          <cell r="J410"/>
        </row>
        <row r="411">
          <cell r="A411" t="str">
            <v>RHES-SHNGAHP</v>
          </cell>
          <cell r="B411" t="str">
            <v>VAR_fin</v>
          </cell>
          <cell r="C411" t="str">
            <v>RHESELCHPC</v>
          </cell>
          <cell r="F411">
            <v>2.0482193476145492</v>
          </cell>
          <cell r="G411">
            <v>4.0071273467907007</v>
          </cell>
          <cell r="H411">
            <v>6.2205294123554937</v>
          </cell>
          <cell r="I411">
            <v>7.8138433375708916</v>
          </cell>
          <cell r="J411"/>
          <cell r="K411"/>
        </row>
        <row r="412">
          <cell r="A412" t="str">
            <v>RHES-SHNGAHP</v>
          </cell>
          <cell r="B412" t="str">
            <v>VAR_fin</v>
          </cell>
          <cell r="C412" t="str">
            <v>RNGA</v>
          </cell>
          <cell r="F412">
            <v>1.1298257643584502</v>
          </cell>
          <cell r="G412">
            <v>2.1450982134440815</v>
          </cell>
          <cell r="H412">
            <v>3.2240141694233504</v>
          </cell>
          <cell r="I412">
            <v>3.9469308795807829</v>
          </cell>
          <cell r="J412"/>
          <cell r="K412"/>
        </row>
        <row r="413">
          <cell r="A413" t="str">
            <v>RHES-SHNGAHP</v>
          </cell>
          <cell r="B413" t="str">
            <v>VAR_ncap</v>
          </cell>
          <cell r="C413" t="str">
            <v>-</v>
          </cell>
          <cell r="E413">
            <v>1.7139986902687301E-7</v>
          </cell>
          <cell r="F413">
            <v>0.16548475070795099</v>
          </cell>
          <cell r="G413">
            <v>0.15824814799231099</v>
          </cell>
          <cell r="H413">
            <v>0.25754256846358797</v>
          </cell>
          <cell r="I413">
            <v>0.39883954770235702</v>
          </cell>
          <cell r="J413"/>
          <cell r="K413"/>
        </row>
        <row r="414">
          <cell r="A414" t="str">
            <v>RHES-SHNGAHP</v>
          </cell>
          <cell r="B414" t="str">
            <v>VAR_cap</v>
          </cell>
          <cell r="C414" t="str">
            <v>-</v>
          </cell>
          <cell r="E414">
            <v>1.7139986902687301E-7</v>
          </cell>
          <cell r="F414">
            <v>0.16548481184763755</v>
          </cell>
          <cell r="G414">
            <v>0.32373293948183146</v>
          </cell>
          <cell r="H414">
            <v>0.50255831138957496</v>
          </cell>
          <cell r="I414">
            <v>0.63127096832446083</v>
          </cell>
        </row>
        <row r="415">
          <cell r="A415" t="str">
            <v>D-RHES_LTH_CHPWOD</v>
          </cell>
          <cell r="B415" t="str">
            <v>VAR_fout</v>
          </cell>
          <cell r="C415" t="str">
            <v>RHES_LTH_CHPWOD_ON</v>
          </cell>
          <cell r="D415">
            <v>4.1494959016106483E-5</v>
          </cell>
          <cell r="E415">
            <v>5.4526487862995627E-5</v>
          </cell>
          <cell r="F415">
            <v>1.2528105593100271E-5</v>
          </cell>
          <cell r="H415">
            <v>3.5542680048099117E-4</v>
          </cell>
        </row>
        <row r="416">
          <cell r="A416" t="str">
            <v>D-RHES_LTH_CHPWOD</v>
          </cell>
          <cell r="B416" t="str">
            <v>VAR_fout</v>
          </cell>
          <cell r="C416" t="str">
            <v>RHSA_LTH</v>
          </cell>
          <cell r="D416">
            <v>7.1996192488531767E-5</v>
          </cell>
          <cell r="E416">
            <v>4.6412512192322886E-5</v>
          </cell>
          <cell r="F416">
            <v>3.3356653496735028E-5</v>
          </cell>
          <cell r="G416">
            <v>6.6871187492342169E-4</v>
          </cell>
          <cell r="H416">
            <v>1.8716916421806411E-4</v>
          </cell>
          <cell r="I416">
            <v>2.8372958040552034E-4</v>
          </cell>
          <cell r="J416"/>
          <cell r="K416"/>
        </row>
        <row r="417">
          <cell r="A417" t="str">
            <v>D-RHES_LTH_CHPWOD</v>
          </cell>
          <cell r="B417" t="str">
            <v>VAR_fin</v>
          </cell>
          <cell r="C417" t="str">
            <v>RHES_LTH_CHPWOD</v>
          </cell>
          <cell r="D417">
            <v>1.1349115150463822E-4</v>
          </cell>
          <cell r="E417">
            <v>1.0273086441003082E-4</v>
          </cell>
          <cell r="F417">
            <v>4.7143330748489888E-5</v>
          </cell>
          <cell r="G417">
            <v>6.6929025296345445E-4</v>
          </cell>
          <cell r="H417">
            <v>5.4351684920649665E-4</v>
          </cell>
          <cell r="I417">
            <v>2.8448139228976188E-4</v>
          </cell>
          <cell r="J417"/>
          <cell r="K417"/>
        </row>
        <row r="418">
          <cell r="A418" t="str">
            <v>ITOT-SWHSOLBR</v>
          </cell>
          <cell r="B418" t="str">
            <v>VAR_fout</v>
          </cell>
          <cell r="C418" t="str">
            <v>ITOT-SWHASOL</v>
          </cell>
          <cell r="D418">
            <v>6.7689304247871174E-2</v>
          </cell>
          <cell r="E418">
            <v>8.5502402786570494E-2</v>
          </cell>
          <cell r="F418">
            <v>8.4085612211990637E-2</v>
          </cell>
          <cell r="G418">
            <v>8.5586190678340945E-2</v>
          </cell>
          <cell r="H418">
            <v>8.5448951637461204E-2</v>
          </cell>
          <cell r="I418">
            <v>8.5577119847331934E-2</v>
          </cell>
        </row>
        <row r="419">
          <cell r="A419" t="str">
            <v>ITOT-SWHSOLBR</v>
          </cell>
          <cell r="B419" t="str">
            <v>VAR_fin</v>
          </cell>
          <cell r="C419" t="str">
            <v>SOL</v>
          </cell>
          <cell r="D419">
            <v>6.7689304247871174E-2</v>
          </cell>
          <cell r="E419">
            <v>8.5502402786570494E-2</v>
          </cell>
          <cell r="F419">
            <v>8.4085612211990637E-2</v>
          </cell>
          <cell r="G419">
            <v>8.5586190678340945E-2</v>
          </cell>
          <cell r="H419">
            <v>8.5448951637461204E-2</v>
          </cell>
          <cell r="I419">
            <v>8.5577119847331934E-2</v>
          </cell>
        </row>
        <row r="420">
          <cell r="A420" t="str">
            <v>ITOT-SWHSOLBR</v>
          </cell>
          <cell r="B420" t="str">
            <v>VAR_ncap</v>
          </cell>
          <cell r="C420" t="str">
            <v>-</v>
          </cell>
          <cell r="E420">
            <v>2.6520781788510698E-3</v>
          </cell>
          <cell r="F420">
            <v>7.9768226931047699E-8</v>
          </cell>
          <cell r="G420">
            <v>6.7929266482008702E-8</v>
          </cell>
          <cell r="H420">
            <v>3.9027047598098399E-3</v>
          </cell>
          <cell r="I420">
            <v>6.0097742867647802E-3</v>
          </cell>
          <cell r="J420"/>
          <cell r="K420"/>
        </row>
        <row r="421">
          <cell r="A421" t="str">
            <v>ITOT-SWHSOLBR</v>
          </cell>
          <cell r="B421" t="str">
            <v>VAR_cap</v>
          </cell>
          <cell r="C421" t="str">
            <v>-</v>
          </cell>
          <cell r="D421">
            <v>9.8214799778629808E-3</v>
          </cell>
          <cell r="E421">
            <v>1.2473558156714051E-2</v>
          </cell>
          <cell r="F421">
            <v>1.2473637924940991E-2</v>
          </cell>
          <cell r="G421">
            <v>1.247370585420747E-2</v>
          </cell>
          <cell r="H421">
            <v>1.2467602346957899E-2</v>
          </cell>
          <cell r="I421">
            <v>1.24649782323155E-2</v>
          </cell>
          <cell r="J421"/>
          <cell r="K421"/>
        </row>
        <row r="422">
          <cell r="A422" t="str">
            <v>SCOM-SHNGAHP</v>
          </cell>
          <cell r="B422" t="str">
            <v>VAR_fout</v>
          </cell>
          <cell r="C422" t="str">
            <v>SCOM-SHANGAH</v>
          </cell>
          <cell r="F422">
            <v>1.7587553112277454</v>
          </cell>
          <cell r="G422">
            <v>3.4759552160372738</v>
          </cell>
          <cell r="H422">
            <v>5.9951029812916223</v>
          </cell>
          <cell r="I422">
            <v>8.6558037864653947</v>
          </cell>
        </row>
        <row r="423">
          <cell r="A423" t="str">
            <v>SCOM-SHNGAHP</v>
          </cell>
          <cell r="B423" t="str">
            <v>VAR_fout</v>
          </cell>
          <cell r="C423" t="str">
            <v>CO2_S</v>
          </cell>
          <cell r="F423">
            <v>51.846135551378197</v>
          </cell>
          <cell r="G423">
            <v>99.870484683863907</v>
          </cell>
          <cell r="H423">
            <v>165.80447397890299</v>
          </cell>
          <cell r="I423">
            <v>230.86506735560999</v>
          </cell>
        </row>
        <row r="424">
          <cell r="A424" t="str">
            <v>SCOM-SHNGAHP</v>
          </cell>
          <cell r="B424" t="str">
            <v>VAR_fin</v>
          </cell>
          <cell r="C424" t="str">
            <v>SCOMELCHPC</v>
          </cell>
          <cell r="F424">
            <v>1.7587553112277454</v>
          </cell>
          <cell r="G424">
            <v>3.4759552160372738</v>
          </cell>
          <cell r="H424">
            <v>5.9951029812916223</v>
          </cell>
          <cell r="I424">
            <v>8.6558037864653947</v>
          </cell>
          <cell r="J424"/>
          <cell r="K424"/>
        </row>
        <row r="425">
          <cell r="A425" t="str">
            <v>SCOM-SHNGAHP</v>
          </cell>
          <cell r="B425" t="str">
            <v>VAR_fin</v>
          </cell>
          <cell r="C425" t="str">
            <v>SNGA</v>
          </cell>
          <cell r="F425">
            <v>0.91925772254216775</v>
          </cell>
          <cell r="G425">
            <v>1.7707532745365944</v>
          </cell>
          <cell r="H425">
            <v>2.9397956379238117</v>
          </cell>
          <cell r="I425">
            <v>4.0933522580781911</v>
          </cell>
          <cell r="J425"/>
          <cell r="K425"/>
        </row>
        <row r="426">
          <cell r="A426" t="str">
            <v>SCOM-SHNGAHP</v>
          </cell>
          <cell r="B426" t="str">
            <v>VAR_ncap</v>
          </cell>
          <cell r="C426" t="str">
            <v>-</v>
          </cell>
          <cell r="D426">
            <v>3.7553150614274298E-7</v>
          </cell>
          <cell r="E426">
            <v>2.62117917485284E-5</v>
          </cell>
          <cell r="F426">
            <v>0.13596697666853999</v>
          </cell>
          <cell r="G426">
            <v>0.13271581103934099</v>
          </cell>
          <cell r="H426">
            <v>0.247338062791502</v>
          </cell>
          <cell r="I426">
            <v>0.448865140268707</v>
          </cell>
        </row>
        <row r="427">
          <cell r="A427" t="str">
            <v>SCOM-SHNGAHP</v>
          </cell>
          <cell r="B427" t="str">
            <v>VAR_cap</v>
          </cell>
          <cell r="C427" t="str">
            <v>-</v>
          </cell>
          <cell r="D427">
            <v>3.7553150614274298E-7</v>
          </cell>
          <cell r="E427">
            <v>2.6352658138948973E-5</v>
          </cell>
          <cell r="F427">
            <v>0.13599315651030089</v>
          </cell>
          <cell r="G427">
            <v>0.26870892807047075</v>
          </cell>
          <cell r="H427">
            <v>0.46516482929541253</v>
          </cell>
          <cell r="I427">
            <v>0.67197781657421429</v>
          </cell>
        </row>
        <row r="428">
          <cell r="A428" t="str">
            <v>RHNS-SHNGABR</v>
          </cell>
          <cell r="B428" t="str">
            <v>VAR_fout</v>
          </cell>
          <cell r="C428" t="str">
            <v>CO2_R</v>
          </cell>
          <cell r="E428">
            <v>6.0647929016722397</v>
          </cell>
          <cell r="F428">
            <v>3.1665415808777002</v>
          </cell>
          <cell r="G428">
            <v>6.5576298857024504</v>
          </cell>
          <cell r="H428">
            <v>9.6446601496677999</v>
          </cell>
          <cell r="I428">
            <v>10.365086685304499</v>
          </cell>
          <cell r="J428"/>
          <cell r="K428"/>
        </row>
        <row r="429">
          <cell r="A429" t="str">
            <v>RHNS-SHNGABR</v>
          </cell>
          <cell r="B429" t="str">
            <v>VAR_fout</v>
          </cell>
          <cell r="C429" t="str">
            <v>RHNS-SHNGA</v>
          </cell>
          <cell r="E429">
            <v>0.10215519958490485</v>
          </cell>
          <cell r="F429">
            <v>5.3891980197448147E-2</v>
          </cell>
          <cell r="G429">
            <v>0.11160556427764125</v>
          </cell>
          <cell r="H429">
            <v>0.16414528214419355</v>
          </cell>
          <cell r="I429">
            <v>0.17640643133153114</v>
          </cell>
          <cell r="K429"/>
        </row>
        <row r="430">
          <cell r="A430" t="str">
            <v>RHNS-SHNGABR</v>
          </cell>
          <cell r="B430" t="str">
            <v>VAR_fin</v>
          </cell>
          <cell r="C430" t="str">
            <v>RNGA</v>
          </cell>
          <cell r="E430">
            <v>0.10753178903674195</v>
          </cell>
          <cell r="F430">
            <v>5.6144354270881248E-2</v>
          </cell>
          <cell r="G430">
            <v>0.11627003343444058</v>
          </cell>
          <cell r="H430">
            <v>0.17100461258276226</v>
          </cell>
          <cell r="I430">
            <v>0.18377813271816432</v>
          </cell>
          <cell r="K430"/>
        </row>
        <row r="431">
          <cell r="A431" t="str">
            <v>RHNS-SHNGABR</v>
          </cell>
          <cell r="B431" t="str">
            <v>VAR_ncap</v>
          </cell>
          <cell r="C431" t="str">
            <v>-</v>
          </cell>
          <cell r="E431">
            <v>7.5014112008844596E-3</v>
          </cell>
          <cell r="F431">
            <v>9.1406934782151104E-7</v>
          </cell>
          <cell r="G431">
            <v>6.6244683350129903E-4</v>
          </cell>
          <cell r="H431">
            <v>5.5894125082234297E-3</v>
          </cell>
          <cell r="I431">
            <v>6.7105946206204199E-3</v>
          </cell>
          <cell r="K431"/>
        </row>
        <row r="432">
          <cell r="A432" t="str">
            <v>RHNS-SHNGABR</v>
          </cell>
          <cell r="B432" t="str">
            <v>VAR_cap</v>
          </cell>
          <cell r="C432" t="str">
            <v>-</v>
          </cell>
          <cell r="E432">
            <v>7.5014112008844596E-3</v>
          </cell>
          <cell r="F432">
            <v>7.5019638781502977E-3</v>
          </cell>
          <cell r="G432">
            <v>8.1644561766180714E-3</v>
          </cell>
          <cell r="H432">
            <v>1.203853663260445E-2</v>
          </cell>
          <cell r="I432">
            <v>1.3303491720781196E-2</v>
          </cell>
          <cell r="K432"/>
        </row>
        <row r="433">
          <cell r="A433" t="str">
            <v>D-RHNM_LTH_CHPNGA</v>
          </cell>
          <cell r="B433" t="str">
            <v>VAR_fout</v>
          </cell>
          <cell r="C433" t="str">
            <v>RHSA_LTH</v>
          </cell>
          <cell r="D433">
            <v>5.267769041648353E-5</v>
          </cell>
          <cell r="E433">
            <v>2.1726114403990992E-5</v>
          </cell>
          <cell r="F433">
            <v>4.3212120998569825E-3</v>
          </cell>
          <cell r="G433">
            <v>0.64546742693607873</v>
          </cell>
          <cell r="H433">
            <v>1.1061951736458406</v>
          </cell>
          <cell r="I433">
            <v>1.4676237092876556</v>
          </cell>
          <cell r="K433"/>
        </row>
        <row r="434">
          <cell r="A434" t="str">
            <v>D-RHNM_LTH_CHPNGA</v>
          </cell>
          <cell r="B434" t="str">
            <v>VAR_fout</v>
          </cell>
          <cell r="C434" t="str">
            <v>LTH</v>
          </cell>
          <cell r="F434">
            <v>4.8651706398211266E-7</v>
          </cell>
          <cell r="G434">
            <v>4.8116861346201233E-4</v>
          </cell>
          <cell r="H434">
            <v>3.0634120419297619E-3</v>
          </cell>
          <cell r="I434">
            <v>5.441072163263983E-3</v>
          </cell>
          <cell r="K434"/>
        </row>
        <row r="435">
          <cell r="A435" t="str">
            <v>D-RHNM_LTH_CHPNGA</v>
          </cell>
          <cell r="B435" t="str">
            <v>VAR_fout</v>
          </cell>
          <cell r="C435" t="str">
            <v>RHNM_LTH_CHPNGA_ON</v>
          </cell>
          <cell r="D435">
            <v>7.0631594742521706E-5</v>
          </cell>
          <cell r="E435">
            <v>2.6136766364092427E-3</v>
          </cell>
          <cell r="F435">
            <v>4.0363231403154319E-4</v>
          </cell>
          <cell r="G435">
            <v>4.1413575407574885E-2</v>
          </cell>
          <cell r="H435">
            <v>0.24984742486520825</v>
          </cell>
          <cell r="J435"/>
          <cell r="K435"/>
        </row>
        <row r="436">
          <cell r="A436" t="str">
            <v>D-RHNM_LTH_CHPNGA</v>
          </cell>
          <cell r="B436" t="str">
            <v>VAR_fin</v>
          </cell>
          <cell r="C436" t="str">
            <v>RHNM_LTH_CHPNGA</v>
          </cell>
          <cell r="D436">
            <v>1.2330928515900518E-4</v>
          </cell>
          <cell r="E436">
            <v>2.635907742217967E-3</v>
          </cell>
          <cell r="F436">
            <v>4.7264416314343784E-3</v>
          </cell>
          <cell r="G436">
            <v>0.68736217095711671</v>
          </cell>
          <cell r="H436">
            <v>1.3591060105529778</v>
          </cell>
          <cell r="I436">
            <v>1.4730647814509197</v>
          </cell>
          <cell r="J436"/>
          <cell r="K436"/>
        </row>
        <row r="437">
          <cell r="A437" t="str">
            <v>RHNM-SHELCHP</v>
          </cell>
          <cell r="B437" t="str">
            <v>VAR_fout</v>
          </cell>
          <cell r="C437" t="str">
            <v>RHNM-SHAELCH</v>
          </cell>
          <cell r="E437">
            <v>1.7654854765522093E-4</v>
          </cell>
          <cell r="F437">
            <v>0.91113990068684025</v>
          </cell>
          <cell r="G437">
            <v>1.6687420061156273</v>
          </cell>
          <cell r="H437">
            <v>2.6017117160987104</v>
          </cell>
          <cell r="I437">
            <v>3.2338605725022491</v>
          </cell>
          <cell r="J437"/>
          <cell r="K437"/>
        </row>
        <row r="438">
          <cell r="A438" t="str">
            <v>RHNM-SHELCHP</v>
          </cell>
          <cell r="B438" t="str">
            <v>VAR_fin</v>
          </cell>
          <cell r="C438" t="str">
            <v>RHNM_ELC</v>
          </cell>
          <cell r="E438">
            <v>5.4266971615334377E-5</v>
          </cell>
          <cell r="F438">
            <v>0.26823317080923986</v>
          </cell>
          <cell r="G438">
            <v>0.47728450008825868</v>
          </cell>
          <cell r="H438">
            <v>0.71273986815878276</v>
          </cell>
          <cell r="I438">
            <v>0.84800811883018345</v>
          </cell>
          <cell r="J438"/>
          <cell r="K438"/>
        </row>
        <row r="439">
          <cell r="A439" t="str">
            <v>RHNM-SHELCHP</v>
          </cell>
          <cell r="B439" t="str">
            <v>VAR_fin</v>
          </cell>
          <cell r="C439" t="str">
            <v>RHNMELCHPC</v>
          </cell>
          <cell r="E439">
            <v>1.7654854765522093E-4</v>
          </cell>
          <cell r="F439">
            <v>0.91113990068684025</v>
          </cell>
          <cell r="G439">
            <v>1.6687420061156273</v>
          </cell>
          <cell r="H439">
            <v>2.6017117160987104</v>
          </cell>
          <cell r="I439">
            <v>3.2338605725022491</v>
          </cell>
          <cell r="K439"/>
        </row>
        <row r="440">
          <cell r="A440" t="str">
            <v>RHNM-SHELCHP</v>
          </cell>
          <cell r="B440" t="str">
            <v>VAR_ncap</v>
          </cell>
          <cell r="C440" t="str">
            <v>-</v>
          </cell>
          <cell r="E440">
            <v>7.6433681350283395E-5</v>
          </cell>
          <cell r="F440">
            <v>7.0703873626824496E-2</v>
          </cell>
          <cell r="G440">
            <v>5.8847657256923903E-2</v>
          </cell>
          <cell r="H440">
            <v>0.108706980610125</v>
          </cell>
          <cell r="I440">
            <v>0.15498236621158601</v>
          </cell>
        </row>
        <row r="441">
          <cell r="A441" t="str">
            <v>RHNM-SHELCHP</v>
          </cell>
          <cell r="B441" t="str">
            <v>VAR_cap</v>
          </cell>
          <cell r="C441" t="str">
            <v>-</v>
          </cell>
          <cell r="E441">
            <v>7.6433681350283395E-5</v>
          </cell>
          <cell r="F441">
            <v>7.0780117623145414E-2</v>
          </cell>
          <cell r="G441">
            <v>0.12962707639051829</v>
          </cell>
          <cell r="H441">
            <v>0.20197159304398105</v>
          </cell>
          <cell r="I441">
            <v>0.25102677737470636</v>
          </cell>
        </row>
        <row r="442">
          <cell r="A442" t="str">
            <v>D-IH2R</v>
          </cell>
          <cell r="B442" t="str">
            <v>VAR_fout</v>
          </cell>
          <cell r="C442" t="str">
            <v>IH2</v>
          </cell>
          <cell r="G442">
            <v>2.5493476975866946E-3</v>
          </cell>
          <cell r="H442">
            <v>3.3966775500942729E-2</v>
          </cell>
          <cell r="I442">
            <v>5.9412432447949096E-2</v>
          </cell>
          <cell r="K442"/>
        </row>
        <row r="443">
          <cell r="A443" t="str">
            <v>D-IH2R</v>
          </cell>
          <cell r="B443" t="str">
            <v>VAR_fin</v>
          </cell>
          <cell r="C443" t="str">
            <v>H2</v>
          </cell>
          <cell r="G443">
            <v>2.5493476975866946E-3</v>
          </cell>
          <cell r="H443">
            <v>3.3966775500942729E-2</v>
          </cell>
          <cell r="I443">
            <v>5.9412432447949096E-2</v>
          </cell>
          <cell r="J443"/>
          <cell r="K443"/>
        </row>
        <row r="444">
          <cell r="A444" t="str">
            <v>D-IH2R</v>
          </cell>
          <cell r="B444" t="str">
            <v>VAR_ncap</v>
          </cell>
          <cell r="C444" t="str">
            <v>-</v>
          </cell>
          <cell r="G444">
            <v>2.0669644594828801E-4</v>
          </cell>
          <cell r="H444">
            <v>4.3259266441192101E-3</v>
          </cell>
          <cell r="I444">
            <v>1.46894717609291E-3</v>
          </cell>
        </row>
        <row r="445">
          <cell r="A445" t="str">
            <v>D-IH2R</v>
          </cell>
          <cell r="B445" t="str">
            <v>VAR_cap</v>
          </cell>
          <cell r="C445" t="str">
            <v>-</v>
          </cell>
          <cell r="G445">
            <v>2.0669644594828801E-4</v>
          </cell>
          <cell r="H445">
            <v>4.4252257828536002E-3</v>
          </cell>
          <cell r="I445">
            <v>2.9506689635611901E-3</v>
          </cell>
        </row>
        <row r="446">
          <cell r="A446" t="str">
            <v>RHEM-SHSTG-ELC</v>
          </cell>
          <cell r="B446" t="str">
            <v>VAR_fout</v>
          </cell>
          <cell r="C446" t="str">
            <v>RHEM-SHAELCB</v>
          </cell>
          <cell r="D446">
            <v>1.2841220258311153E-7</v>
          </cell>
          <cell r="E446">
            <v>0.76009032867701953</v>
          </cell>
          <cell r="F446">
            <v>7.5198432784271156E-3</v>
          </cell>
          <cell r="G446">
            <v>2.6721255510368672E-3</v>
          </cell>
          <cell r="H446">
            <v>5.8734042883504549E-4</v>
          </cell>
          <cell r="I446">
            <v>3.9192374741055269E-4</v>
          </cell>
          <cell r="J446"/>
          <cell r="K446"/>
        </row>
        <row r="447">
          <cell r="A447" t="str">
            <v>RHEM-SHSTG-ELC</v>
          </cell>
          <cell r="B447" t="str">
            <v>VAR_fin</v>
          </cell>
          <cell r="C447" t="str">
            <v>RHEM-SHAELCB</v>
          </cell>
          <cell r="D447">
            <v>2.8004464268525213E-5</v>
          </cell>
          <cell r="E447">
            <v>0.76012655750055191</v>
          </cell>
          <cell r="F447">
            <v>7.5193910593844655E-3</v>
          </cell>
          <cell r="G447">
            <v>2.6725792335081889E-3</v>
          </cell>
          <cell r="H447">
            <v>5.9276183747033443E-4</v>
          </cell>
          <cell r="I447">
            <v>3.9813570482651408E-4</v>
          </cell>
        </row>
        <row r="448">
          <cell r="A448" t="str">
            <v>RHEM-SHSTG-ELC</v>
          </cell>
          <cell r="B448" t="str">
            <v>VAR_ncap</v>
          </cell>
          <cell r="C448" t="str">
            <v>-</v>
          </cell>
          <cell r="D448">
            <v>1.01627827628765E-2</v>
          </cell>
          <cell r="E448">
            <v>6.6741156061019699E-2</v>
          </cell>
          <cell r="F448">
            <v>8.9449690913440992E-6</v>
          </cell>
          <cell r="G448">
            <v>1.6160895800575798E-5</v>
          </cell>
          <cell r="H448">
            <v>9.2810436310821403E-5</v>
          </cell>
          <cell r="I448">
            <v>2.42156638372014E-5</v>
          </cell>
        </row>
        <row r="449">
          <cell r="A449" t="str">
            <v>RHEM-SHSTG-ELC</v>
          </cell>
          <cell r="B449" t="str">
            <v>VAR_cap</v>
          </cell>
          <cell r="C449" t="str">
            <v>-</v>
          </cell>
          <cell r="D449">
            <v>1.01627827628765E-2</v>
          </cell>
          <cell r="E449">
            <v>7.6887833515743437E-2</v>
          </cell>
          <cell r="F449">
            <v>1.0837996631969937E-3</v>
          </cell>
          <cell r="G449">
            <v>3.9383726720269852E-4</v>
          </cell>
          <cell r="H449">
            <v>1.1098054736435189E-4</v>
          </cell>
          <cell r="I449">
            <v>7.97909826304362E-5</v>
          </cell>
        </row>
        <row r="450">
          <cell r="A450" t="str">
            <v>RHNM-SHLTHCHPWOD</v>
          </cell>
          <cell r="B450" t="str">
            <v>VAR_ncap</v>
          </cell>
          <cell r="C450" t="str">
            <v>-</v>
          </cell>
          <cell r="G450">
            <v>1.34649901622895E-4</v>
          </cell>
          <cell r="H450">
            <v>8.3361991194615795E-5</v>
          </cell>
          <cell r="I450">
            <v>4.8263761192714602E-5</v>
          </cell>
        </row>
        <row r="451">
          <cell r="A451" t="str">
            <v>RHNM-SHLTHCHPWOD</v>
          </cell>
          <cell r="B451" t="str">
            <v>VAR_cap</v>
          </cell>
          <cell r="C451" t="str">
            <v>-</v>
          </cell>
          <cell r="G451">
            <v>1.34649901622895E-4</v>
          </cell>
          <cell r="H451">
            <v>1.5388272366644799E-4</v>
          </cell>
          <cell r="I451">
            <v>8.0151927500461605E-5</v>
          </cell>
        </row>
        <row r="452">
          <cell r="A452" t="str">
            <v>ITOT-SWHDEM</v>
          </cell>
          <cell r="B452" t="str">
            <v>VAR_fout</v>
          </cell>
          <cell r="C452" t="str">
            <v>ITOT-SWHD</v>
          </cell>
          <cell r="D452">
            <v>72.708169056255471</v>
          </cell>
          <cell r="E452">
            <v>74.35269248141455</v>
          </cell>
          <cell r="F452">
            <v>75.856231273565896</v>
          </cell>
          <cell r="G452">
            <v>76.851764114971843</v>
          </cell>
          <cell r="H452">
            <v>77.001570893290705</v>
          </cell>
          <cell r="I452">
            <v>76.995238761401311</v>
          </cell>
        </row>
        <row r="453">
          <cell r="A453" t="str">
            <v>ITOT-SWHDEM</v>
          </cell>
          <cell r="B453" t="str">
            <v>VAR_fin</v>
          </cell>
          <cell r="C453" t="str">
            <v>ITOT-SWHNGAH</v>
          </cell>
          <cell r="F453">
            <v>8.5005193855204764E-3</v>
          </cell>
          <cell r="G453">
            <v>6.7248533152554565E-3</v>
          </cell>
          <cell r="H453">
            <v>2.8270843877976078E-2</v>
          </cell>
          <cell r="I453">
            <v>0.26687579498009378</v>
          </cell>
        </row>
        <row r="454">
          <cell r="A454" t="str">
            <v>ITOT-SWHDEM</v>
          </cell>
          <cell r="B454" t="str">
            <v>VAR_fin</v>
          </cell>
          <cell r="C454" t="str">
            <v>ITOT-SWH</v>
          </cell>
          <cell r="D454">
            <v>61.718375647802389</v>
          </cell>
          <cell r="E454">
            <v>58.487777142855741</v>
          </cell>
          <cell r="F454">
            <v>59.188838979716273</v>
          </cell>
          <cell r="G454">
            <v>57.963109724985443</v>
          </cell>
          <cell r="H454">
            <v>54.229849677463562</v>
          </cell>
          <cell r="I454">
            <v>52.499094082700346</v>
          </cell>
        </row>
        <row r="455">
          <cell r="A455" t="str">
            <v>ITOT-SWHDEM</v>
          </cell>
          <cell r="B455" t="str">
            <v>VAR_fin</v>
          </cell>
          <cell r="C455" t="str">
            <v>ITOT-SWHELCH</v>
          </cell>
          <cell r="D455">
            <v>1.1081275654045448</v>
          </cell>
          <cell r="E455">
            <v>1.400793308134773</v>
          </cell>
          <cell r="F455">
            <v>1.6851224467503003</v>
          </cell>
          <cell r="G455">
            <v>3.8702163050392202</v>
          </cell>
          <cell r="H455">
            <v>5.8484650161034102</v>
          </cell>
          <cell r="I455">
            <v>5.9015044871737325</v>
          </cell>
        </row>
        <row r="456">
          <cell r="A456" t="str">
            <v>ITOT-SWHDEM</v>
          </cell>
          <cell r="B456" t="str">
            <v>VAR_fin</v>
          </cell>
          <cell r="C456" t="str">
            <v>ITOT-SWHC</v>
          </cell>
          <cell r="E456">
            <v>4.0436561905718289</v>
          </cell>
          <cell r="F456">
            <v>4.0436545180837289</v>
          </cell>
          <cell r="G456">
            <v>4.0442380331269989</v>
          </cell>
          <cell r="H456">
            <v>5.9770277961079072</v>
          </cell>
          <cell r="I456">
            <v>7.3988930310410783</v>
          </cell>
        </row>
        <row r="457">
          <cell r="A457" t="str">
            <v>ITOT-SWHDEM</v>
          </cell>
          <cell r="B457" t="str">
            <v>VAR_fin</v>
          </cell>
          <cell r="C457" t="str">
            <v>ITOT-SWHELC</v>
          </cell>
          <cell r="D457">
            <v>9.8139402324924436</v>
          </cell>
          <cell r="E457">
            <v>10.335084422482815</v>
          </cell>
          <cell r="F457">
            <v>10.846173196507843</v>
          </cell>
          <cell r="G457">
            <v>10.882013079248107</v>
          </cell>
          <cell r="H457">
            <v>10.832816253884429</v>
          </cell>
          <cell r="I457">
            <v>10.843614071407885</v>
          </cell>
        </row>
        <row r="458">
          <cell r="A458" t="str">
            <v>ITOT-SWHDEM</v>
          </cell>
          <cell r="B458" t="str">
            <v>VAR_fin</v>
          </cell>
          <cell r="C458" t="str">
            <v>ITOT-SWHSOL</v>
          </cell>
          <cell r="D458">
            <v>6.7725610556117102E-2</v>
          </cell>
          <cell r="E458">
            <v>8.5564125849915629E-2</v>
          </cell>
          <cell r="F458">
            <v>8.4176447769981511E-2</v>
          </cell>
          <cell r="G458">
            <v>8.5658289843552712E-2</v>
          </cell>
          <cell r="H458">
            <v>8.5439706493866771E-2</v>
          </cell>
          <cell r="I458">
            <v>8.559223575744912E-2</v>
          </cell>
        </row>
        <row r="459">
          <cell r="A459" t="str">
            <v>D-RHNS_NKEV_GAS_ELC_CHP</v>
          </cell>
          <cell r="B459" t="str">
            <v>VAR_fout</v>
          </cell>
          <cell r="C459" t="str">
            <v>RHNS_ELC</v>
          </cell>
          <cell r="E459">
            <v>2.0678863742786715E-4</v>
          </cell>
          <cell r="F459">
            <v>4.7849082750562873E-4</v>
          </cell>
          <cell r="G459">
            <v>5.6327131303433148E-4</v>
          </cell>
          <cell r="H459">
            <v>1.1165029068039656E-3</v>
          </cell>
          <cell r="I459">
            <v>7.2285834102156293E-4</v>
          </cell>
        </row>
        <row r="460">
          <cell r="A460" t="str">
            <v>D-RHNS_NKEV_GAS_ELC_CHP</v>
          </cell>
          <cell r="B460" t="str">
            <v>VAR_fout</v>
          </cell>
          <cell r="C460" t="str">
            <v>ELC5</v>
          </cell>
          <cell r="E460">
            <v>2.0682474252788882E-4</v>
          </cell>
          <cell r="F460">
            <v>4.7964514709599072E-4</v>
          </cell>
          <cell r="G460">
            <v>5.6387877470453888E-4</v>
          </cell>
          <cell r="H460">
            <v>1.1188685828618355E-3</v>
          </cell>
          <cell r="I460">
            <v>7.2437722204318961E-4</v>
          </cell>
        </row>
        <row r="461">
          <cell r="A461" t="str">
            <v>D-RHNS_NKEV_GAS_ELC_CHP</v>
          </cell>
          <cell r="B461" t="str">
            <v>VAR_fin</v>
          </cell>
          <cell r="C461" t="str">
            <v>RHNS_NKEV_GAS_ELC_CHP</v>
          </cell>
          <cell r="E461">
            <v>4.1361337995575621E-4</v>
          </cell>
          <cell r="F461">
            <v>9.4656708990207086E-4</v>
          </cell>
          <cell r="G461">
            <v>1.1271500877388697E-3</v>
          </cell>
          <cell r="H461">
            <v>2.2353714896658021E-3</v>
          </cell>
          <cell r="I461">
            <v>1.4472355630647509E-3</v>
          </cell>
        </row>
        <row r="462">
          <cell r="A462" t="str">
            <v>RHNM-SHSTG-NGAHP</v>
          </cell>
          <cell r="B462" t="str">
            <v>VAR_fout</v>
          </cell>
          <cell r="C462" t="str">
            <v>RHNM-SHANGAH</v>
          </cell>
          <cell r="F462">
            <v>1.2529229139350057E-2</v>
          </cell>
          <cell r="G462">
            <v>4.0747171907018806E-2</v>
          </cell>
          <cell r="H462">
            <v>7.254461976517014E-2</v>
          </cell>
          <cell r="I462">
            <v>0.16241194902758949</v>
          </cell>
        </row>
        <row r="463">
          <cell r="A463" t="str">
            <v>RHNM-SHSTG-NGAHP</v>
          </cell>
          <cell r="B463" t="str">
            <v>VAR_fin</v>
          </cell>
          <cell r="C463" t="str">
            <v>RHNM-SHANGAH</v>
          </cell>
          <cell r="F463">
            <v>1.2589122012657817E-2</v>
          </cell>
          <cell r="G463">
            <v>4.0801456975123641E-2</v>
          </cell>
          <cell r="H463">
            <v>7.2585136433567496E-2</v>
          </cell>
          <cell r="I463">
            <v>0.16245375143381849</v>
          </cell>
        </row>
        <row r="464">
          <cell r="A464" t="str">
            <v>RHNM-SHSTG-NGAHP</v>
          </cell>
          <cell r="B464" t="str">
            <v>VAR_ncap</v>
          </cell>
          <cell r="C464" t="str">
            <v>-</v>
          </cell>
          <cell r="D464">
            <v>1.25548629831165E-5</v>
          </cell>
          <cell r="E464">
            <v>1.33921168763059E-5</v>
          </cell>
          <cell r="F464">
            <v>4.2272313556007699E-3</v>
          </cell>
          <cell r="G464">
            <v>8.3468954654910797E-3</v>
          </cell>
          <cell r="H464">
            <v>1.0944884836923401E-2</v>
          </cell>
          <cell r="I464">
            <v>2.1634337707396301E-2</v>
          </cell>
        </row>
        <row r="465">
          <cell r="A465" t="str">
            <v>RHNM-SHSTG-NGAHP</v>
          </cell>
          <cell r="B465" t="str">
            <v>VAR_cap</v>
          </cell>
          <cell r="C465" t="str">
            <v>-</v>
          </cell>
          <cell r="D465">
            <v>1.25548629831165E-5</v>
          </cell>
          <cell r="E465">
            <v>1.6348154564086004E-6</v>
          </cell>
          <cell r="F465">
            <v>4.2213555526774572E-3</v>
          </cell>
          <cell r="G465">
            <v>1.2558486550523109E-2</v>
          </cell>
          <cell r="H465">
            <v>2.3587875781276912E-2</v>
          </cell>
          <cell r="I465">
            <v>3.2181156302978436E-2</v>
          </cell>
        </row>
        <row r="466">
          <cell r="A466" t="str">
            <v>D-IBIO</v>
          </cell>
          <cell r="B466" t="str">
            <v>VAR_fout</v>
          </cell>
          <cell r="C466" t="str">
            <v>IBIO</v>
          </cell>
          <cell r="D466">
            <v>0.43676157628678225</v>
          </cell>
          <cell r="E466">
            <v>0.55207409248493622</v>
          </cell>
          <cell r="F466">
            <v>2.7098498926148737</v>
          </cell>
          <cell r="G466">
            <v>5.5619447395981858</v>
          </cell>
          <cell r="H466">
            <v>6.4187004309308904</v>
          </cell>
          <cell r="I466">
            <v>11.140836746794079</v>
          </cell>
        </row>
        <row r="467">
          <cell r="A467" t="str">
            <v>D-IBIO</v>
          </cell>
          <cell r="B467" t="str">
            <v>VAR_fin</v>
          </cell>
          <cell r="C467" t="str">
            <v>BIO</v>
          </cell>
          <cell r="D467">
            <v>0.43676157628678225</v>
          </cell>
          <cell r="E467">
            <v>0.55207409248493622</v>
          </cell>
          <cell r="F467">
            <v>2.7098498926148737</v>
          </cell>
          <cell r="G467">
            <v>5.5619447395981858</v>
          </cell>
          <cell r="H467">
            <v>6.4187004309308904</v>
          </cell>
          <cell r="I467">
            <v>11.140836746794079</v>
          </cell>
        </row>
        <row r="468">
          <cell r="A468" t="str">
            <v>D-RHES_KEV_WOD_ELC_CHP</v>
          </cell>
          <cell r="B468" t="str">
            <v>VAR_fout</v>
          </cell>
          <cell r="C468" t="str">
            <v>RHES_ELC</v>
          </cell>
          <cell r="G468">
            <v>1.3846337856693701E-4</v>
          </cell>
          <cell r="H468">
            <v>2.2123918003026625E-4</v>
          </cell>
          <cell r="I468">
            <v>1.3175519560497766E-4</v>
          </cell>
        </row>
        <row r="469">
          <cell r="A469" t="str">
            <v>D-RHES_KEV_WOD_ELC_CHP</v>
          </cell>
          <cell r="B469" t="str">
            <v>VAR_fout</v>
          </cell>
          <cell r="C469" t="str">
            <v>ELC5</v>
          </cell>
          <cell r="G469">
            <v>2.1743573463092218E-4</v>
          </cell>
          <cell r="H469">
            <v>2.2142427967321361E-4</v>
          </cell>
          <cell r="I469">
            <v>1.3184454687086025E-4</v>
          </cell>
        </row>
        <row r="470">
          <cell r="A470" t="str">
            <v>D-RHES_KEV_WOD_ELC_CHP</v>
          </cell>
          <cell r="B470" t="str">
            <v>VAR_fin</v>
          </cell>
          <cell r="C470" t="str">
            <v>RHES_KEV_WOD_ELC_CHP</v>
          </cell>
          <cell r="G470">
            <v>3.4175567659315895E-4</v>
          </cell>
          <cell r="H470">
            <v>4.2666457480515442E-4</v>
          </cell>
          <cell r="I470">
            <v>2.5096739295638406E-4</v>
          </cell>
        </row>
        <row r="471">
          <cell r="A471" t="str">
            <v>RHNS-SHLFOBR</v>
          </cell>
          <cell r="B471" t="str">
            <v>VAR_fout</v>
          </cell>
          <cell r="C471" t="str">
            <v>CO2_R</v>
          </cell>
          <cell r="E471">
            <v>2.9652557534571898E-3</v>
          </cell>
          <cell r="F471">
            <v>3.24733606471136</v>
          </cell>
          <cell r="G471">
            <v>5.0056262271027796</v>
          </cell>
          <cell r="H471">
            <v>5.6857940202809303</v>
          </cell>
        </row>
        <row r="472">
          <cell r="A472" t="str">
            <v>RHNS-SHLFOBR</v>
          </cell>
          <cell r="B472" t="str">
            <v>VAR_fout</v>
          </cell>
          <cell r="C472" t="str">
            <v>RHNS-SHLFO</v>
          </cell>
          <cell r="E472">
            <v>3.6043079318933509E-5</v>
          </cell>
          <cell r="F472">
            <v>4.1827583199046441E-2</v>
          </cell>
          <cell r="G472">
            <v>6.4478043828888817E-2</v>
          </cell>
          <cell r="H472">
            <v>7.3246910963372894E-2</v>
          </cell>
        </row>
        <row r="473">
          <cell r="A473" t="str">
            <v>RHNS-SHLFOBR</v>
          </cell>
          <cell r="B473" t="str">
            <v>VAR_fin</v>
          </cell>
          <cell r="C473" t="str">
            <v>RLFO</v>
          </cell>
          <cell r="E473">
            <v>4.0234135053693179E-5</v>
          </cell>
          <cell r="F473">
            <v>4.4061547689434974E-2</v>
          </cell>
          <cell r="G473">
            <v>6.7918944736808456E-2</v>
          </cell>
          <cell r="H473">
            <v>7.7147815743296239E-2</v>
          </cell>
        </row>
        <row r="474">
          <cell r="A474" t="str">
            <v>RHNS-SHLFOBR</v>
          </cell>
          <cell r="B474" t="str">
            <v>VAR_ncap</v>
          </cell>
          <cell r="C474" t="str">
            <v>-</v>
          </cell>
          <cell r="E474">
            <v>1.36423687114685E-5</v>
          </cell>
          <cell r="F474">
            <v>3.01346402173929E-2</v>
          </cell>
        </row>
        <row r="475">
          <cell r="A475" t="str">
            <v>RHNS-SHLFOBR</v>
          </cell>
          <cell r="B475" t="str">
            <v>VAR_cap</v>
          </cell>
          <cell r="C475" t="str">
            <v>-</v>
          </cell>
          <cell r="E475">
            <v>1.36423687114685E-5</v>
          </cell>
          <cell r="F475">
            <v>3.014430322123629E-2</v>
          </cell>
          <cell r="G475">
            <v>3.0140532479210079E-2</v>
          </cell>
          <cell r="H475">
            <v>5.3374914256871667E-3</v>
          </cell>
        </row>
        <row r="476">
          <cell r="A476" t="str">
            <v>D-SNGA</v>
          </cell>
          <cell r="B476" t="str">
            <v>VAR_fout</v>
          </cell>
          <cell r="C476" t="str">
            <v>CO2</v>
          </cell>
          <cell r="D476">
            <v>1522.32001151143</v>
          </cell>
          <cell r="E476">
            <v>1515.8026687721399</v>
          </cell>
          <cell r="F476">
            <v>1368.861459512</v>
          </cell>
          <cell r="G476">
            <v>1294.91075871055</v>
          </cell>
          <cell r="H476">
            <v>982.98764734646795</v>
          </cell>
          <cell r="I476">
            <v>1258.8191082783701</v>
          </cell>
        </row>
        <row r="477">
          <cell r="A477" t="str">
            <v>D-SNGA</v>
          </cell>
          <cell r="B477" t="str">
            <v>VAR_fout</v>
          </cell>
          <cell r="C477" t="str">
            <v>SNGA</v>
          </cell>
          <cell r="D477">
            <v>27.212679402002998</v>
          </cell>
          <cell r="E477">
            <v>28.488390608448135</v>
          </cell>
          <cell r="F477">
            <v>25.162888549002115</v>
          </cell>
          <cell r="G477">
            <v>22.886975980813222</v>
          </cell>
          <cell r="H477">
            <v>17.373497581502981</v>
          </cell>
          <cell r="I477">
            <v>22.248499777779564</v>
          </cell>
        </row>
        <row r="478">
          <cell r="A478" t="str">
            <v>D-SNGA</v>
          </cell>
          <cell r="B478" t="str">
            <v>VAR_fin</v>
          </cell>
          <cell r="C478" t="str">
            <v>NGA</v>
          </cell>
          <cell r="D478">
            <v>26.991489565805491</v>
          </cell>
          <cell r="E478">
            <v>26.875933843477728</v>
          </cell>
          <cell r="F478">
            <v>24.270593253758836</v>
          </cell>
          <cell r="G478">
            <v>22.959410615435246</v>
          </cell>
          <cell r="H478">
            <v>17.428858995504751</v>
          </cell>
          <cell r="I478">
            <v>22.319487735432176</v>
          </cell>
        </row>
        <row r="479">
          <cell r="A479" t="str">
            <v>D-SNGA</v>
          </cell>
          <cell r="B479" t="str">
            <v>VAR_fin</v>
          </cell>
          <cell r="C479" t="str">
            <v>BNGA</v>
          </cell>
          <cell r="D479">
            <v>0.30812399485881542</v>
          </cell>
          <cell r="E479">
            <v>1.7034663356405173</v>
          </cell>
          <cell r="F479">
            <v>0.97268115189417015</v>
          </cell>
          <cell r="G479">
            <v>6.8615794820821329E-4</v>
          </cell>
          <cell r="H479">
            <v>1.5264972872579093E-4</v>
          </cell>
          <cell r="I479">
            <v>1.0089307633081657E-4</v>
          </cell>
        </row>
        <row r="480">
          <cell r="A480" t="str">
            <v>D-SNGA</v>
          </cell>
          <cell r="B480" t="str">
            <v>VAR_ncap</v>
          </cell>
          <cell r="C480" t="str">
            <v>-</v>
          </cell>
          <cell r="D480">
            <v>3.66956527794371E-7</v>
          </cell>
          <cell r="E480">
            <v>1.5097157842041799E-7</v>
          </cell>
          <cell r="F480">
            <v>2.04907489371709E-7</v>
          </cell>
          <cell r="G480">
            <v>2.3698665660556101E-7</v>
          </cell>
          <cell r="H480">
            <v>8.4361583952706702E-7</v>
          </cell>
          <cell r="I480">
            <v>1.48844255716045E-2</v>
          </cell>
        </row>
        <row r="481">
          <cell r="A481" t="str">
            <v>D-SNGA</v>
          </cell>
          <cell r="B481" t="str">
            <v>VAR_cap</v>
          </cell>
          <cell r="C481" t="str">
            <v>-</v>
          </cell>
          <cell r="D481">
            <v>2.235052568581668</v>
          </cell>
          <cell r="E481">
            <v>2.2350527195532464</v>
          </cell>
          <cell r="F481">
            <v>2.2350529244607356</v>
          </cell>
          <cell r="G481">
            <v>2.2350531614473925</v>
          </cell>
          <cell r="H481">
            <v>2.2350545140601552</v>
          </cell>
          <cell r="I481">
            <v>1.1357772404954793</v>
          </cell>
        </row>
        <row r="482">
          <cell r="A482" t="str">
            <v>D-IPLT</v>
          </cell>
          <cell r="B482" t="str">
            <v>VAR_fout</v>
          </cell>
          <cell r="C482" t="str">
            <v>IPLT</v>
          </cell>
          <cell r="D482">
            <v>0.62580379174949397</v>
          </cell>
          <cell r="E482">
            <v>0.73758005755724709</v>
          </cell>
          <cell r="F482">
            <v>0.73665825388096751</v>
          </cell>
          <cell r="G482">
            <v>0.73458991893932046</v>
          </cell>
          <cell r="H482">
            <v>0.73050284763771689</v>
          </cell>
          <cell r="I482">
            <v>0.72644694035857182</v>
          </cell>
        </row>
        <row r="483">
          <cell r="A483" t="str">
            <v>D-IPLT</v>
          </cell>
          <cell r="B483" t="str">
            <v>VAR_fin</v>
          </cell>
          <cell r="C483" t="str">
            <v>PLT</v>
          </cell>
          <cell r="D483">
            <v>0.62580379174949397</v>
          </cell>
          <cell r="E483">
            <v>0.73758005755724709</v>
          </cell>
          <cell r="F483">
            <v>0.73665825388096751</v>
          </cell>
          <cell r="G483">
            <v>0.73458991893932046</v>
          </cell>
          <cell r="H483">
            <v>0.73050284763771689</v>
          </cell>
          <cell r="I483">
            <v>0.72644694035857182</v>
          </cell>
        </row>
        <row r="484">
          <cell r="A484" t="str">
            <v>ITOT-SWHWODBR</v>
          </cell>
          <cell r="B484" t="str">
            <v>VAR_fout</v>
          </cell>
          <cell r="C484" t="str">
            <v>ITOT-SWH</v>
          </cell>
          <cell r="D484">
            <v>5.3111478238092333</v>
          </cell>
          <cell r="E484">
            <v>6.2669447821477684</v>
          </cell>
          <cell r="F484">
            <v>5.8090581725377533</v>
          </cell>
          <cell r="G484">
            <v>5.8970994983395668</v>
          </cell>
          <cell r="H484">
            <v>5.7393959748711376</v>
          </cell>
          <cell r="I484">
            <v>5.6130009193296537</v>
          </cell>
        </row>
        <row r="485">
          <cell r="A485" t="str">
            <v>ITOT-SWHWODBR</v>
          </cell>
          <cell r="B485" t="str">
            <v>VAR_fin</v>
          </cell>
          <cell r="C485" t="str">
            <v>IWOD</v>
          </cell>
          <cell r="D485">
            <v>9.0019454640834571</v>
          </cell>
          <cell r="E485">
            <v>10.609951662778389</v>
          </cell>
          <cell r="F485">
            <v>9.8181264887962048</v>
          </cell>
          <cell r="G485">
            <v>9.9389317387745546</v>
          </cell>
          <cell r="H485">
            <v>9.6190993992253571</v>
          </cell>
          <cell r="I485">
            <v>9.3550015322160913</v>
          </cell>
        </row>
        <row r="486">
          <cell r="A486" t="str">
            <v>ITOT-SWHWODBR</v>
          </cell>
          <cell r="B486" t="str">
            <v>VAR_fin</v>
          </cell>
          <cell r="C486" t="str">
            <v>ITOTWODBRC</v>
          </cell>
          <cell r="D486">
            <v>5.3111478238092333</v>
          </cell>
          <cell r="E486">
            <v>6.2669447821477684</v>
          </cell>
          <cell r="F486">
            <v>5.8090581725377533</v>
          </cell>
          <cell r="G486">
            <v>5.8970994983395668</v>
          </cell>
          <cell r="H486">
            <v>5.7393959748711376</v>
          </cell>
          <cell r="I486">
            <v>5.6130009193296537</v>
          </cell>
        </row>
        <row r="487">
          <cell r="A487" t="str">
            <v>ITOT-SWHWODBR</v>
          </cell>
          <cell r="B487" t="str">
            <v>VAR_ncap</v>
          </cell>
          <cell r="C487" t="str">
            <v>-</v>
          </cell>
          <cell r="E487">
            <v>5.2265841772742398E-2</v>
          </cell>
          <cell r="F487">
            <v>2.7834379948988001E-6</v>
          </cell>
          <cell r="G487">
            <v>5.6613782061402903E-6</v>
          </cell>
          <cell r="H487">
            <v>9.4157234839018694E-2</v>
          </cell>
          <cell r="I487">
            <v>0.15025344949613301</v>
          </cell>
        </row>
        <row r="488">
          <cell r="A488" t="str">
            <v>ITOT-SWHWODBR</v>
          </cell>
          <cell r="B488" t="str">
            <v>VAR_cap</v>
          </cell>
          <cell r="C488" t="str">
            <v>-</v>
          </cell>
          <cell r="D488">
            <v>0.28883369534761499</v>
          </cell>
          <cell r="E488">
            <v>0.34109834117387844</v>
          </cell>
          <cell r="F488">
            <v>0.34103905760689424</v>
          </cell>
          <cell r="G488">
            <v>0.34101894011388167</v>
          </cell>
          <cell r="H488">
            <v>0.31821596223039877</v>
          </cell>
          <cell r="I488">
            <v>0.31335460801383186</v>
          </cell>
        </row>
        <row r="489">
          <cell r="A489" t="str">
            <v>D-ITOT_KEV_WOD_ELC_CHP</v>
          </cell>
          <cell r="B489" t="str">
            <v>VAR_fout</v>
          </cell>
          <cell r="C489" t="str">
            <v>ITOT_ELC</v>
          </cell>
          <cell r="D489">
            <v>3.7404108055791085E-4</v>
          </cell>
          <cell r="E489">
            <v>1.4503820378893308E-4</v>
          </cell>
          <cell r="F489">
            <v>2.553230190909337E-4</v>
          </cell>
          <cell r="G489">
            <v>1.5380448733041208E-3</v>
          </cell>
          <cell r="H489">
            <v>2.7317905373757299</v>
          </cell>
          <cell r="I489">
            <v>3.4695480081748697</v>
          </cell>
        </row>
        <row r="490">
          <cell r="A490" t="str">
            <v>D-ITOT_KEV_WOD_ELC_CHP</v>
          </cell>
          <cell r="B490" t="str">
            <v>VAR_fout</v>
          </cell>
          <cell r="C490" t="str">
            <v>ELC5</v>
          </cell>
          <cell r="D490">
            <v>0.1721195363809791</v>
          </cell>
          <cell r="E490">
            <v>0.52149979882884889</v>
          </cell>
          <cell r="F490">
            <v>1.1350519557275256</v>
          </cell>
          <cell r="G490">
            <v>1.5469317170531345</v>
          </cell>
          <cell r="H490">
            <v>0.23774703490849272</v>
          </cell>
          <cell r="I490">
            <v>0.43892334084651458</v>
          </cell>
        </row>
        <row r="491">
          <cell r="A491" t="str">
            <v>D-ITOT_KEV_WOD_ELC_CHP</v>
          </cell>
          <cell r="B491" t="str">
            <v>VAR_fin</v>
          </cell>
          <cell r="C491" t="str">
            <v>ITOT_KEV_WOD_ELC_CHP</v>
          </cell>
          <cell r="D491">
            <v>0.17249357746153715</v>
          </cell>
          <cell r="E491">
            <v>0.52164483703263809</v>
          </cell>
          <cell r="F491">
            <v>1.1352984436908105</v>
          </cell>
          <cell r="G491">
            <v>1.5484521156742825</v>
          </cell>
          <cell r="H491">
            <v>2.9695103893394172</v>
          </cell>
          <cell r="I491">
            <v>3.9084452421652069</v>
          </cell>
        </row>
        <row r="492">
          <cell r="A492" t="str">
            <v>RHEM-SHSTG-SOL</v>
          </cell>
          <cell r="B492" t="str">
            <v>VAR_fout</v>
          </cell>
          <cell r="C492" t="str">
            <v>RHEM-SHASOL</v>
          </cell>
          <cell r="D492">
            <v>8.2181632791391224E-6</v>
          </cell>
          <cell r="E492">
            <v>8.6558398712886414E-6</v>
          </cell>
          <cell r="F492">
            <v>2.8408316177274758E-3</v>
          </cell>
          <cell r="G492">
            <v>1.9393900339136016E-3</v>
          </cell>
          <cell r="H492">
            <v>1.0407719015901277E-3</v>
          </cell>
          <cell r="I492">
            <v>1.4400589990662678E-3</v>
          </cell>
        </row>
        <row r="493">
          <cell r="A493" t="str">
            <v>RHEM-SHSTG-SOL</v>
          </cell>
          <cell r="B493" t="str">
            <v>VAR_fin</v>
          </cell>
          <cell r="C493" t="str">
            <v>RHEM-SHASOL</v>
          </cell>
          <cell r="D493">
            <v>7.4814622704466134E-6</v>
          </cell>
          <cell r="E493">
            <v>2.0695975739659888E-5</v>
          </cell>
          <cell r="F493">
            <v>2.8533271142014496E-3</v>
          </cell>
          <cell r="G493">
            <v>1.9506538759480039E-3</v>
          </cell>
          <cell r="H493">
            <v>1.0470253627341088E-3</v>
          </cell>
          <cell r="I493">
            <v>1.4477550569036513E-3</v>
          </cell>
        </row>
        <row r="494">
          <cell r="A494" t="str">
            <v>RHEM-SHSTG-SOL</v>
          </cell>
          <cell r="B494" t="str">
            <v>VAR_ncap</v>
          </cell>
          <cell r="C494" t="str">
            <v>-</v>
          </cell>
          <cell r="D494">
            <v>1.42919114041188E-2</v>
          </cell>
          <cell r="E494">
            <v>1.80131400706633E-3</v>
          </cell>
          <cell r="F494">
            <v>3.1162013120617701E-7</v>
          </cell>
          <cell r="G494">
            <v>4.6152202532669299E-7</v>
          </cell>
          <cell r="H494">
            <v>4.1271146678010601E-4</v>
          </cell>
          <cell r="I494">
            <v>1.42892759463144E-4</v>
          </cell>
        </row>
        <row r="495">
          <cell r="A495" t="str">
            <v>RHEM-SHSTG-SOL</v>
          </cell>
          <cell r="B495" t="str">
            <v>VAR_cap</v>
          </cell>
          <cell r="C495" t="str">
            <v>-</v>
          </cell>
          <cell r="D495">
            <v>1.42919114041188E-2</v>
          </cell>
          <cell r="E495">
            <v>1.6093225411185099E-2</v>
          </cell>
          <cell r="F495">
            <v>1.6093537031316298E-2</v>
          </cell>
          <cell r="G495">
            <v>1.6093998553341701E-2</v>
          </cell>
          <cell r="H495">
            <v>4.5378091845657298E-4</v>
          </cell>
          <cell r="I495">
            <v>4.5962678439099902E-4</v>
          </cell>
        </row>
        <row r="496">
          <cell r="A496" t="str">
            <v>ITOT-SWHCONBR10</v>
          </cell>
          <cell r="B496" t="str">
            <v>VAR_fout</v>
          </cell>
          <cell r="C496" t="str">
            <v>ITOT-ELS</v>
          </cell>
          <cell r="I496">
            <v>1.0723404008324762E-5</v>
          </cell>
        </row>
        <row r="497">
          <cell r="A497" t="str">
            <v>ITOT-SWHCONBR10</v>
          </cell>
          <cell r="B497" t="str">
            <v>VAR_fout</v>
          </cell>
          <cell r="C497" t="str">
            <v>ITOT-SWHC</v>
          </cell>
          <cell r="I497">
            <v>6.6096976512612592E-5</v>
          </cell>
        </row>
        <row r="498">
          <cell r="A498" t="str">
            <v>ITOT-SWHCONBR10</v>
          </cell>
          <cell r="B498" t="str">
            <v>VAR_fin</v>
          </cell>
          <cell r="C498" t="str">
            <v>CON</v>
          </cell>
          <cell r="I498">
            <v>7.6830308473446109E-5</v>
          </cell>
        </row>
        <row r="499">
          <cell r="A499" t="str">
            <v>ITOT-SWHCONBR10</v>
          </cell>
          <cell r="B499" t="str">
            <v>VAR_ncap</v>
          </cell>
          <cell r="C499" t="str">
            <v>-</v>
          </cell>
          <cell r="I499">
            <v>2.0698591274124601E-6</v>
          </cell>
        </row>
        <row r="500">
          <cell r="A500" t="str">
            <v>ITOT-SWHCONBR10</v>
          </cell>
          <cell r="B500" t="str">
            <v>VAR_cap</v>
          </cell>
          <cell r="C500" t="str">
            <v>-</v>
          </cell>
          <cell r="I500">
            <v>2.0698591274124601E-6</v>
          </cell>
        </row>
        <row r="501">
          <cell r="A501" t="str">
            <v>SCOM-SHSTG</v>
          </cell>
          <cell r="B501" t="str">
            <v>VAR_fout</v>
          </cell>
          <cell r="C501" t="str">
            <v>AUX_SCOM-SHSTG_OUT</v>
          </cell>
          <cell r="D501">
            <v>2.6321027004918227E-5</v>
          </cell>
          <cell r="E501">
            <v>1.5356197151928137E-4</v>
          </cell>
          <cell r="F501">
            <v>1.3664460850156178E-4</v>
          </cell>
          <cell r="G501">
            <v>6.6829264639088536E-5</v>
          </cell>
          <cell r="H501">
            <v>1.2947859585335709E-4</v>
          </cell>
          <cell r="I501">
            <v>2.5390585224629135E-3</v>
          </cell>
        </row>
        <row r="502">
          <cell r="A502" t="str">
            <v>SCOM-SHSTG</v>
          </cell>
          <cell r="B502" t="str">
            <v>VAR_fout</v>
          </cell>
          <cell r="C502" t="str">
            <v>SCOM-SHD</v>
          </cell>
          <cell r="D502">
            <v>2.6321027004918285E-5</v>
          </cell>
          <cell r="E502">
            <v>1.5368748832869699E-4</v>
          </cell>
          <cell r="F502">
            <v>1.3681912268866475E-4</v>
          </cell>
          <cell r="G502">
            <v>6.6829264639088401E-5</v>
          </cell>
          <cell r="H502">
            <v>1.2947859585335701E-4</v>
          </cell>
          <cell r="I502">
            <v>2.5390585224629131E-3</v>
          </cell>
        </row>
        <row r="503">
          <cell r="A503" t="str">
            <v>SCOM-SHSTG</v>
          </cell>
          <cell r="B503" t="str">
            <v>VAR_fin</v>
          </cell>
          <cell r="C503" t="str">
            <v>AUX_SCOM-SHSTG_IN</v>
          </cell>
          <cell r="D503">
            <v>3.3146347570568989E-5</v>
          </cell>
          <cell r="E503">
            <v>1.8771946983496706E-4</v>
          </cell>
          <cell r="F503">
            <v>1.6363374079669043E-4</v>
          </cell>
          <cell r="G503">
            <v>7.7502889766351029E-5</v>
          </cell>
          <cell r="H503">
            <v>1.396828799976395E-4</v>
          </cell>
          <cell r="I503">
            <v>2.5649029129326617E-3</v>
          </cell>
        </row>
        <row r="504">
          <cell r="A504" t="str">
            <v>SCOM-SHSTG</v>
          </cell>
          <cell r="B504" t="str">
            <v>VAR_fin</v>
          </cell>
          <cell r="C504" t="str">
            <v>SCOM-SHD</v>
          </cell>
          <cell r="D504">
            <v>3.3146347570568989E-5</v>
          </cell>
          <cell r="E504">
            <v>1.8771946983496706E-4</v>
          </cell>
          <cell r="F504">
            <v>1.6363374079669043E-4</v>
          </cell>
          <cell r="G504">
            <v>7.7502889766351029E-5</v>
          </cell>
          <cell r="H504">
            <v>1.396828799976395E-4</v>
          </cell>
          <cell r="I504">
            <v>2.5649029129326617E-3</v>
          </cell>
        </row>
        <row r="505">
          <cell r="A505" t="str">
            <v>SCOM-SHSTG</v>
          </cell>
          <cell r="B505" t="str">
            <v>VAR_ncap</v>
          </cell>
          <cell r="C505" t="str">
            <v>-</v>
          </cell>
          <cell r="D505">
            <v>6.1200651511252502E-4</v>
          </cell>
          <cell r="E505">
            <v>4.0206129228440101E-6</v>
          </cell>
          <cell r="F505">
            <v>4.6445713750117098E-6</v>
          </cell>
          <cell r="G505">
            <v>2.7608711332198202E-6</v>
          </cell>
          <cell r="H505">
            <v>2.9034398865901298E-4</v>
          </cell>
          <cell r="I505">
            <v>4.2061899509530899E-4</v>
          </cell>
        </row>
        <row r="506">
          <cell r="A506" t="str">
            <v>SCOM-SHSTG</v>
          </cell>
          <cell r="B506" t="str">
            <v>VAR_cap</v>
          </cell>
          <cell r="C506" t="str">
            <v>-</v>
          </cell>
          <cell r="D506">
            <v>6.1200651511252502E-4</v>
          </cell>
          <cell r="E506">
            <v>6.1448800924039496E-4</v>
          </cell>
          <cell r="F506">
            <v>6.1732392717590585E-4</v>
          </cell>
          <cell r="G506">
            <v>6.1757871661503123E-4</v>
          </cell>
          <cell r="H506">
            <v>6.5888773719032E-4</v>
          </cell>
          <cell r="I506">
            <v>8.3057678945294971E-4</v>
          </cell>
        </row>
        <row r="507">
          <cell r="A507" t="str">
            <v>D-RNGA</v>
          </cell>
          <cell r="B507" t="str">
            <v>VAR_fout</v>
          </cell>
          <cell r="C507" t="str">
            <v>CO2</v>
          </cell>
          <cell r="D507">
            <v>2651.86138300121</v>
          </cell>
          <cell r="E507">
            <v>2613.6737884106101</v>
          </cell>
          <cell r="F507">
            <v>2679.7545785109901</v>
          </cell>
          <cell r="G507">
            <v>2614.0699807956498</v>
          </cell>
          <cell r="H507">
            <v>2578.6174216145801</v>
          </cell>
          <cell r="I507">
            <v>2128.76192929948</v>
          </cell>
        </row>
        <row r="508">
          <cell r="A508" t="str">
            <v>D-RNGA</v>
          </cell>
          <cell r="B508" t="str">
            <v>VAR_fout</v>
          </cell>
          <cell r="C508" t="str">
            <v>RNGA</v>
          </cell>
          <cell r="D508">
            <v>47.18027407438391</v>
          </cell>
          <cell r="E508">
            <v>48.283001000412739</v>
          </cell>
          <cell r="F508">
            <v>48.547458487101103</v>
          </cell>
          <cell r="G508">
            <v>46.201861174665432</v>
          </cell>
          <cell r="H508">
            <v>45.574726618915797</v>
          </cell>
          <cell r="I508">
            <v>37.623912432609345</v>
          </cell>
        </row>
        <row r="509">
          <cell r="A509" t="str">
            <v>D-RNGA</v>
          </cell>
          <cell r="B509" t="str">
            <v>VAR_fin</v>
          </cell>
          <cell r="C509" t="str">
            <v>NGA</v>
          </cell>
          <cell r="D509">
            <v>47.018818847539137</v>
          </cell>
          <cell r="E509">
            <v>46.341733837067508</v>
          </cell>
          <cell r="F509">
            <v>47.51337905161332</v>
          </cell>
          <cell r="G509">
            <v>46.348758524745492</v>
          </cell>
          <cell r="H509">
            <v>45.720167049903942</v>
          </cell>
          <cell r="I509">
            <v>37.744005838643304</v>
          </cell>
        </row>
        <row r="510">
          <cell r="A510" t="str">
            <v>D-RNGA</v>
          </cell>
          <cell r="B510" t="str">
            <v>VAR_fin</v>
          </cell>
          <cell r="C510" t="str">
            <v>BNGA</v>
          </cell>
          <cell r="D510">
            <v>0.31217825457288184</v>
          </cell>
          <cell r="E510">
            <v>2.0955129841116067</v>
          </cell>
          <cell r="F510">
            <v>1.1891700973213322</v>
          </cell>
          <cell r="G510">
            <v>7.0002063342414558E-4</v>
          </cell>
          <cell r="H510">
            <v>1.5348338919326328E-4</v>
          </cell>
          <cell r="I510">
            <v>1.006816027565621E-4</v>
          </cell>
        </row>
        <row r="511">
          <cell r="A511" t="str">
            <v>D-RNGA</v>
          </cell>
          <cell r="B511" t="str">
            <v>VAR_ncap</v>
          </cell>
          <cell r="C511" t="str">
            <v>-</v>
          </cell>
          <cell r="D511">
            <v>3.3438581069403102E-7</v>
          </cell>
          <cell r="E511">
            <v>1.3855642926773701E-7</v>
          </cell>
          <cell r="F511">
            <v>1.6974201300314999E-7</v>
          </cell>
          <cell r="G511">
            <v>1.5139712381201E-7</v>
          </cell>
          <cell r="H511">
            <v>4.5531343305229701E-7</v>
          </cell>
          <cell r="I511">
            <v>0.40134918726592</v>
          </cell>
        </row>
        <row r="512">
          <cell r="A512" t="str">
            <v>D-RNGA</v>
          </cell>
          <cell r="B512" t="str">
            <v>VAR_cap</v>
          </cell>
          <cell r="C512" t="str">
            <v>-</v>
          </cell>
          <cell r="D512">
            <v>3.0972403417817307</v>
          </cell>
          <cell r="E512">
            <v>3.0972404803381601</v>
          </cell>
          <cell r="F512">
            <v>3.097240650080173</v>
          </cell>
          <cell r="G512">
            <v>3.0972408014772967</v>
          </cell>
          <cell r="H512">
            <v>3.0972416447098445</v>
          </cell>
          <cell r="I512">
            <v>1.954633072616065</v>
          </cell>
        </row>
        <row r="513">
          <cell r="A513" t="str">
            <v>RHNS-SHLTHCHPNGA</v>
          </cell>
          <cell r="B513" t="str">
            <v>VAR_fout</v>
          </cell>
          <cell r="C513" t="str">
            <v>RHNS-SHLTHC-NGA</v>
          </cell>
          <cell r="E513">
            <v>8.7040473617596239E-4</v>
          </cell>
        </row>
        <row r="514">
          <cell r="A514" t="str">
            <v>RHNS-SHLTHCHPNGA</v>
          </cell>
          <cell r="B514" t="str">
            <v>VAR_fin</v>
          </cell>
          <cell r="C514" t="str">
            <v>RHNSLTHCHPC</v>
          </cell>
          <cell r="E514">
            <v>8.7040473617596239E-4</v>
          </cell>
        </row>
        <row r="515">
          <cell r="A515" t="str">
            <v>RHNS-SHLTHCHPNGA</v>
          </cell>
          <cell r="B515" t="str">
            <v>VAR_fin</v>
          </cell>
          <cell r="C515" t="str">
            <v>RHNS_LTH_CHPNGA_ON</v>
          </cell>
          <cell r="E515">
            <v>8.7919670320804285E-4</v>
          </cell>
        </row>
        <row r="516">
          <cell r="A516" t="str">
            <v>RHNS-SHLTHCHPNGA</v>
          </cell>
          <cell r="B516" t="str">
            <v>VAR_ncap</v>
          </cell>
          <cell r="C516" t="str">
            <v>-</v>
          </cell>
          <cell r="E516">
            <v>1.14112319281902E-4</v>
          </cell>
          <cell r="F516">
            <v>1.19740772323617E-4</v>
          </cell>
          <cell r="G516">
            <v>1.05830789276345E-4</v>
          </cell>
          <cell r="H516">
            <v>1.86286079699591E-4</v>
          </cell>
          <cell r="I516">
            <v>1.04171658711621E-4</v>
          </cell>
        </row>
        <row r="517">
          <cell r="A517" t="str">
            <v>RHNS-SHLTHCHPNGA</v>
          </cell>
          <cell r="B517" t="str">
            <v>VAR_cap</v>
          </cell>
          <cell r="C517" t="str">
            <v>-</v>
          </cell>
          <cell r="E517">
            <v>1.14112319281902E-4</v>
          </cell>
          <cell r="F517">
            <v>1.631878351406685E-4</v>
          </cell>
          <cell r="G517">
            <v>1.8378046239065799E-4</v>
          </cell>
          <cell r="H517">
            <v>3.1226838783579602E-4</v>
          </cell>
          <cell r="I517">
            <v>1.7171707827787799E-4</v>
          </cell>
        </row>
        <row r="518">
          <cell r="A518" t="str">
            <v>D-SCOM_KEV_BIO_ELC_CHP</v>
          </cell>
          <cell r="B518" t="str">
            <v>VAR_fout</v>
          </cell>
          <cell r="C518" t="str">
            <v>ELC5</v>
          </cell>
          <cell r="D518">
            <v>0.95917446706380149</v>
          </cell>
          <cell r="E518">
            <v>1.1058807969222417</v>
          </cell>
          <cell r="F518">
            <v>1.1058645371445031</v>
          </cell>
          <cell r="G518">
            <v>1.1057141784411861</v>
          </cell>
          <cell r="H518">
            <v>0.55237234684785208</v>
          </cell>
          <cell r="I518">
            <v>0.55358709265330053</v>
          </cell>
        </row>
        <row r="519">
          <cell r="A519" t="str">
            <v>D-SCOM_KEV_BIO_ELC_CHP</v>
          </cell>
          <cell r="B519" t="str">
            <v>VAR_fout</v>
          </cell>
          <cell r="C519" t="str">
            <v>SCOM_ELC</v>
          </cell>
          <cell r="D519">
            <v>2.0388565320361661E-4</v>
          </cell>
          <cell r="E519">
            <v>7.8306253249926908E-5</v>
          </cell>
          <cell r="F519">
            <v>9.8907972219173962E-5</v>
          </cell>
          <cell r="G519">
            <v>2.5219454708601486E-4</v>
          </cell>
          <cell r="H519">
            <v>0.55361219573410847</v>
          </cell>
          <cell r="I519">
            <v>0.55239751118067293</v>
          </cell>
        </row>
        <row r="520">
          <cell r="A520" t="str">
            <v>D-SCOM_KEV_BIO_ELC_CHP</v>
          </cell>
          <cell r="B520" t="str">
            <v>VAR_fin</v>
          </cell>
          <cell r="C520" t="str">
            <v>SCOM_KEV_BIO_ELC_CHP</v>
          </cell>
          <cell r="D520">
            <v>0.95937835271700411</v>
          </cell>
          <cell r="E520">
            <v>1.1059591031754912</v>
          </cell>
          <cell r="F520">
            <v>1.1059589226330457</v>
          </cell>
          <cell r="G520">
            <v>1.1059545999885736</v>
          </cell>
          <cell r="H520">
            <v>1.1059560430382105</v>
          </cell>
          <cell r="I520">
            <v>1.1059561576542958</v>
          </cell>
        </row>
        <row r="521">
          <cell r="A521" t="str">
            <v>RHES-SHLTHCHPWOD</v>
          </cell>
          <cell r="B521" t="str">
            <v>VAR_ncap</v>
          </cell>
          <cell r="C521" t="str">
            <v>-</v>
          </cell>
          <cell r="G521">
            <v>5.9445563033587097E-5</v>
          </cell>
          <cell r="H521">
            <v>4.33354520944548E-5</v>
          </cell>
          <cell r="I521">
            <v>2.41944745902266E-5</v>
          </cell>
        </row>
        <row r="522">
          <cell r="A522" t="str">
            <v>RHES-SHLTHCHPWOD</v>
          </cell>
          <cell r="B522" t="str">
            <v>VAR_cap</v>
          </cell>
          <cell r="C522" t="str">
            <v>-</v>
          </cell>
          <cell r="G522">
            <v>5.9445563033587097E-5</v>
          </cell>
          <cell r="H522">
            <v>7.7696368804279796E-5</v>
          </cell>
          <cell r="I522">
            <v>4.0314332840114303E-5</v>
          </cell>
        </row>
        <row r="523">
          <cell r="A523" t="str">
            <v>RHES-SHSTG-NGAHP</v>
          </cell>
          <cell r="B523" t="str">
            <v>VAR_fout</v>
          </cell>
          <cell r="C523" t="str">
            <v>RHES-SHANGAH</v>
          </cell>
          <cell r="F523">
            <v>7.6337999192852522E-3</v>
          </cell>
          <cell r="G523">
            <v>5.2874697088973431E-3</v>
          </cell>
          <cell r="H523">
            <v>5.0084665019697518E-3</v>
          </cell>
          <cell r="I523">
            <v>0.21406339256644635</v>
          </cell>
        </row>
        <row r="524">
          <cell r="A524" t="str">
            <v>RHES-SHSTG-NGAHP</v>
          </cell>
          <cell r="B524" t="str">
            <v>VAR_fin</v>
          </cell>
          <cell r="C524" t="str">
            <v>RHES-SHANGAH</v>
          </cell>
          <cell r="F524">
            <v>7.6768180173223633E-3</v>
          </cell>
          <cell r="G524">
            <v>5.3278396209070922E-3</v>
          </cell>
          <cell r="H524">
            <v>5.0297169852659262E-3</v>
          </cell>
          <cell r="I524">
            <v>0.21409440298560573</v>
          </cell>
        </row>
        <row r="525">
          <cell r="A525" t="str">
            <v>RHES-SHSTG-NGAHP</v>
          </cell>
          <cell r="B525" t="str">
            <v>VAR_ncap</v>
          </cell>
          <cell r="C525" t="str">
            <v>-</v>
          </cell>
          <cell r="D525">
            <v>7.0499539157029197E-6</v>
          </cell>
          <cell r="E525">
            <v>9.4537967560025908E-6</v>
          </cell>
          <cell r="F525">
            <v>2.9206126839474801E-2</v>
          </cell>
          <cell r="G525">
            <v>2.79311909535787E-2</v>
          </cell>
          <cell r="H525">
            <v>4.5463263564496002E-2</v>
          </cell>
          <cell r="I525">
            <v>7.0392481416895594E-2</v>
          </cell>
        </row>
        <row r="526">
          <cell r="A526" t="str">
            <v>RHES-SHSTG-NGAHP</v>
          </cell>
          <cell r="B526" t="str">
            <v>VAR_cap</v>
          </cell>
          <cell r="C526" t="str">
            <v>-</v>
          </cell>
          <cell r="D526">
            <v>7.0499539157029197E-6</v>
          </cell>
          <cell r="E526">
            <v>7.7470249214029799E-7</v>
          </cell>
          <cell r="F526">
            <v>2.9201830742724772E-2</v>
          </cell>
          <cell r="G526">
            <v>5.7127818585381886E-2</v>
          </cell>
          <cell r="H526">
            <v>8.8686613069643511E-2</v>
          </cell>
          <cell r="I526">
            <v>0.11140152489995736</v>
          </cell>
        </row>
        <row r="527">
          <cell r="A527" t="str">
            <v>D-RHNS_SOLELC</v>
          </cell>
          <cell r="B527" t="str">
            <v>VAR_fout</v>
          </cell>
          <cell r="C527" t="str">
            <v>RHNS_ELC</v>
          </cell>
          <cell r="E527">
            <v>1.6002206566855889E-5</v>
          </cell>
          <cell r="F527">
            <v>9.989047440165E-4</v>
          </cell>
          <cell r="G527">
            <v>1.3760397959864219E-3</v>
          </cell>
          <cell r="H527">
            <v>1.4417196941472392E-3</v>
          </cell>
          <cell r="I527">
            <v>1.5685628817892635E-3</v>
          </cell>
        </row>
        <row r="528">
          <cell r="A528" t="str">
            <v>D-RHNS_SOLELC</v>
          </cell>
          <cell r="B528" t="str">
            <v>VAR_fout</v>
          </cell>
          <cell r="C528" t="str">
            <v>ELC5</v>
          </cell>
          <cell r="E528">
            <v>1.6004165238634425E-5</v>
          </cell>
          <cell r="F528">
            <v>1.008191053384121E-3</v>
          </cell>
          <cell r="G528">
            <v>1.385644595152025E-3</v>
          </cell>
          <cell r="H528">
            <v>1.4482792308304537E-3</v>
          </cell>
          <cell r="I528">
            <v>1.5719818002751225E-3</v>
          </cell>
        </row>
        <row r="529">
          <cell r="A529" t="str">
            <v>D-RHNS_SOLELC</v>
          </cell>
          <cell r="B529" t="str">
            <v>VAR_fin</v>
          </cell>
          <cell r="C529" t="str">
            <v>RHNS_SOL_ELC</v>
          </cell>
          <cell r="E529">
            <v>2.9998206161728846E-5</v>
          </cell>
          <cell r="F529">
            <v>2.0070957974006186E-3</v>
          </cell>
          <cell r="G529">
            <v>2.7616843911384462E-3</v>
          </cell>
          <cell r="H529">
            <v>2.8899989249776912E-3</v>
          </cell>
          <cell r="I529">
            <v>3.1405446820643862E-3</v>
          </cell>
        </row>
        <row r="530">
          <cell r="A530" t="str">
            <v>D-IHFO</v>
          </cell>
          <cell r="B530" t="str">
            <v>VAR_fout</v>
          </cell>
          <cell r="C530" t="str">
            <v>CO2</v>
          </cell>
          <cell r="D530">
            <v>213.781904816398</v>
          </cell>
          <cell r="E530">
            <v>203.09540523844399</v>
          </cell>
          <cell r="F530">
            <v>0.25238764921894702</v>
          </cell>
          <cell r="G530">
            <v>4.5849994996031401E-2</v>
          </cell>
          <cell r="H530">
            <v>5.43182381215086E-2</v>
          </cell>
        </row>
        <row r="531">
          <cell r="A531" t="str">
            <v>D-IHFO</v>
          </cell>
          <cell r="B531" t="str">
            <v>VAR_fout</v>
          </cell>
          <cell r="C531" t="str">
            <v>IHFO</v>
          </cell>
          <cell r="D531">
            <v>2.7300194527988766</v>
          </cell>
          <cell r="E531">
            <v>2.5935516270715397</v>
          </cell>
          <cell r="F531">
            <v>3.2230192382543166E-3</v>
          </cell>
          <cell r="G531">
            <v>5.8550969670420605E-4</v>
          </cell>
          <cell r="H531">
            <v>6.9365013302147998E-4</v>
          </cell>
        </row>
        <row r="532">
          <cell r="A532" t="str">
            <v>D-IHFO</v>
          </cell>
          <cell r="B532" t="str">
            <v>VAR_fin</v>
          </cell>
          <cell r="C532" t="str">
            <v>HFO</v>
          </cell>
          <cell r="D532">
            <v>2.7763883742389397</v>
          </cell>
          <cell r="E532">
            <v>2.6376026654343394</v>
          </cell>
          <cell r="F532">
            <v>3.277761678168145E-3</v>
          </cell>
          <cell r="G532">
            <v>5.9545448046794064E-4</v>
          </cell>
          <cell r="H532">
            <v>7.0543166391569701E-4</v>
          </cell>
        </row>
        <row r="533">
          <cell r="A533" t="str">
            <v>RHEM-SHCONBR</v>
          </cell>
          <cell r="B533" t="str">
            <v>VAR_fout</v>
          </cell>
          <cell r="C533" t="str">
            <v>RHEM-SHCON</v>
          </cell>
          <cell r="F533">
            <v>1.0969570427013266E-4</v>
          </cell>
          <cell r="G533">
            <v>8.8744840359558053E-5</v>
          </cell>
          <cell r="H533">
            <v>2.2292582826711352E-4</v>
          </cell>
          <cell r="I533">
            <v>2.7695554595378506E-4</v>
          </cell>
        </row>
        <row r="534">
          <cell r="A534" t="str">
            <v>RHEM-SHCONBR</v>
          </cell>
          <cell r="B534" t="str">
            <v>VAR_fin</v>
          </cell>
          <cell r="C534" t="str">
            <v>CON</v>
          </cell>
          <cell r="F534">
            <v>1.0969570427013266E-4</v>
          </cell>
          <cell r="G534">
            <v>8.8744840359558053E-5</v>
          </cell>
          <cell r="H534">
            <v>2.2292582826711352E-4</v>
          </cell>
          <cell r="I534">
            <v>2.7695554595378506E-4</v>
          </cell>
        </row>
        <row r="535">
          <cell r="A535" t="str">
            <v>RHEM-SHCONBR</v>
          </cell>
          <cell r="B535" t="str">
            <v>VAR_ncap</v>
          </cell>
          <cell r="C535" t="str">
            <v>-</v>
          </cell>
          <cell r="D535">
            <v>2.1886778347275701E-8</v>
          </cell>
          <cell r="E535">
            <v>4.4839404498442399E-8</v>
          </cell>
          <cell r="F535">
            <v>2.7493760819097501E-6</v>
          </cell>
          <cell r="G535">
            <v>1.7380947747751001E-7</v>
          </cell>
          <cell r="H535">
            <v>1.0935046144767999E-6</v>
          </cell>
          <cell r="I535">
            <v>4.2260059644735904E-6</v>
          </cell>
        </row>
        <row r="536">
          <cell r="A536" t="str">
            <v>RHEM-SHCONBR</v>
          </cell>
          <cell r="B536" t="str">
            <v>VAR_cap</v>
          </cell>
          <cell r="C536" t="str">
            <v>-</v>
          </cell>
          <cell r="D536">
            <v>2.1886778347275701E-8</v>
          </cell>
          <cell r="E536">
            <v>-3.9176634809759091E-7</v>
          </cell>
          <cell r="F536">
            <v>2.7568425700116866E-6</v>
          </cell>
          <cell r="G536">
            <v>2.9182947990874121E-6</v>
          </cell>
          <cell r="H536">
            <v>1.2031309281787032E-5</v>
          </cell>
          <cell r="I536">
            <v>1.6409437268526799E-5</v>
          </cell>
        </row>
        <row r="537">
          <cell r="A537" t="str">
            <v>RHEM-SHSOLBR</v>
          </cell>
          <cell r="B537" t="str">
            <v>VAR_fout</v>
          </cell>
          <cell r="C537" t="str">
            <v>RHEM-SHASOL</v>
          </cell>
          <cell r="D537">
            <v>0.40802282653286193</v>
          </cell>
          <cell r="E537">
            <v>0.47089477585326672</v>
          </cell>
          <cell r="F537">
            <v>9.1709723713667441E-3</v>
          </cell>
          <cell r="G537">
            <v>1.1335130257772099E-2</v>
          </cell>
          <cell r="H537">
            <v>1.300019071107306E-2</v>
          </cell>
          <cell r="I537">
            <v>1.3303081971030086E-2</v>
          </cell>
        </row>
        <row r="538">
          <cell r="A538" t="str">
            <v>RHEM-SHSOLBR</v>
          </cell>
          <cell r="B538" t="str">
            <v>VAR_fin</v>
          </cell>
          <cell r="C538" t="str">
            <v>SOL</v>
          </cell>
          <cell r="D538">
            <v>0.40802282653286193</v>
          </cell>
          <cell r="E538">
            <v>0.47089477585326672</v>
          </cell>
          <cell r="F538">
            <v>9.1709723713667441E-3</v>
          </cell>
          <cell r="G538">
            <v>1.1335130257772099E-2</v>
          </cell>
          <cell r="H538">
            <v>1.300019071107306E-2</v>
          </cell>
          <cell r="I538">
            <v>1.3303081971030086E-2</v>
          </cell>
        </row>
        <row r="539">
          <cell r="A539" t="str">
            <v>RHEM-SHSOLBR</v>
          </cell>
          <cell r="B539" t="str">
            <v>VAR_ncap</v>
          </cell>
          <cell r="C539" t="str">
            <v>-</v>
          </cell>
          <cell r="D539">
            <v>1.29947934336936E-5</v>
          </cell>
          <cell r="E539">
            <v>9.1223799394681299E-3</v>
          </cell>
          <cell r="F539">
            <v>1.8004887875993301E-7</v>
          </cell>
          <cell r="G539">
            <v>2.9474957763474999E-7</v>
          </cell>
          <cell r="H539">
            <v>1.9276177748830099E-3</v>
          </cell>
          <cell r="I539">
            <v>5.56702451862507E-4</v>
          </cell>
        </row>
        <row r="540">
          <cell r="A540" t="str">
            <v>RHEM-SHSOLBR</v>
          </cell>
          <cell r="B540" t="str">
            <v>VAR_cap</v>
          </cell>
          <cell r="C540" t="str">
            <v>-</v>
          </cell>
          <cell r="D540">
            <v>5.9267916210471998E-2</v>
          </cell>
          <cell r="E540">
            <v>6.8390231066717697E-2</v>
          </cell>
          <cell r="F540">
            <v>6.8388603381019514E-2</v>
          </cell>
          <cell r="G540">
            <v>6.8388170614126165E-2</v>
          </cell>
          <cell r="H540">
            <v>1.9282008137407301E-3</v>
          </cell>
          <cell r="I540">
            <v>1.9557659760091393E-3</v>
          </cell>
        </row>
        <row r="541">
          <cell r="A541" t="str">
            <v>SCOM-SHH2BR</v>
          </cell>
          <cell r="B541" t="str">
            <v>VAR_ncap</v>
          </cell>
          <cell r="C541" t="str">
            <v>-</v>
          </cell>
          <cell r="G541">
            <v>6.6699803174827799E-7</v>
          </cell>
          <cell r="H541">
            <v>7.1329869697348294E-2</v>
          </cell>
          <cell r="I541">
            <v>0.40198627228303702</v>
          </cell>
        </row>
        <row r="542">
          <cell r="A542" t="str">
            <v>SCOM-SHH2BR</v>
          </cell>
          <cell r="B542" t="str">
            <v>VAR_cap</v>
          </cell>
          <cell r="C542" t="str">
            <v>-</v>
          </cell>
          <cell r="G542">
            <v>6.6699803174827799E-7</v>
          </cell>
          <cell r="H542">
            <v>0.78995742280654957</v>
          </cell>
          <cell r="I542">
            <v>0.75772788228097787</v>
          </cell>
        </row>
        <row r="543">
          <cell r="A543" t="str">
            <v>ITOT-SWHCONBR1</v>
          </cell>
          <cell r="B543" t="str">
            <v>VAR_fout</v>
          </cell>
          <cell r="C543" t="str">
            <v>ITOT-ELS</v>
          </cell>
          <cell r="E543">
            <v>0.85060648999816879</v>
          </cell>
          <cell r="F543">
            <v>0.85060613818061359</v>
          </cell>
          <cell r="G543">
            <v>0.8506041372700256</v>
          </cell>
          <cell r="H543">
            <v>0.97002733878780245</v>
          </cell>
          <cell r="I543">
            <v>0.97004196071826509</v>
          </cell>
        </row>
        <row r="544">
          <cell r="A544" t="str">
            <v>ITOT-SWHCONBR1</v>
          </cell>
          <cell r="B544" t="str">
            <v>VAR_fout</v>
          </cell>
          <cell r="C544" t="str">
            <v>ITOT-SWHC</v>
          </cell>
          <cell r="E544">
            <v>4.0436561905718289</v>
          </cell>
          <cell r="F544">
            <v>4.0436545180837289</v>
          </cell>
          <cell r="G544">
            <v>4.0436450060536862</v>
          </cell>
          <cell r="H544">
            <v>4.6113650667321604</v>
          </cell>
          <cell r="I544">
            <v>4.6114345772053751</v>
          </cell>
        </row>
        <row r="545">
          <cell r="A545" t="str">
            <v>ITOT-SWHCONBR1</v>
          </cell>
          <cell r="B545" t="str">
            <v>VAR_fin</v>
          </cell>
          <cell r="C545" t="str">
            <v>CON</v>
          </cell>
          <cell r="E545">
            <v>4.8942626805699962</v>
          </cell>
          <cell r="F545">
            <v>4.8942606562643451</v>
          </cell>
          <cell r="G545">
            <v>4.8942491433237123</v>
          </cell>
          <cell r="H545">
            <v>5.5813924055199635</v>
          </cell>
          <cell r="I545">
            <v>5.5814765379236384</v>
          </cell>
        </row>
        <row r="546">
          <cell r="A546" t="str">
            <v>ITOT-SWHCONBR1</v>
          </cell>
          <cell r="B546" t="str">
            <v>VAR_ncap</v>
          </cell>
          <cell r="C546" t="str">
            <v>-</v>
          </cell>
          <cell r="E546">
            <v>0.26616540853772302</v>
          </cell>
          <cell r="F546">
            <v>5.5897900079117803E-7</v>
          </cell>
          <cell r="G546">
            <v>3.43217638977385E-7</v>
          </cell>
          <cell r="H546">
            <v>0.161674218100824</v>
          </cell>
          <cell r="I546">
            <v>0.12619853005289999</v>
          </cell>
        </row>
        <row r="547">
          <cell r="A547" t="str">
            <v>ITOT-SWHCONBR1</v>
          </cell>
          <cell r="B547" t="str">
            <v>VAR_cap</v>
          </cell>
          <cell r="C547" t="str">
            <v>-</v>
          </cell>
          <cell r="E547">
            <v>0.26616540853772302</v>
          </cell>
          <cell r="F547">
            <v>0.266165967516724</v>
          </cell>
          <cell r="G547">
            <v>0.26616631073436298</v>
          </cell>
          <cell r="H547">
            <v>0.303538126981093</v>
          </cell>
          <cell r="I547">
            <v>0.303538463715045</v>
          </cell>
        </row>
        <row r="548">
          <cell r="A548" t="str">
            <v>SCOM-SHLTHCHPWOD</v>
          </cell>
          <cell r="B548" t="str">
            <v>VAR_ncap</v>
          </cell>
          <cell r="C548" t="str">
            <v>-</v>
          </cell>
          <cell r="G548">
            <v>9.9626625540870701E-5</v>
          </cell>
          <cell r="H548">
            <v>9.4784905328877802E-5</v>
          </cell>
          <cell r="I548">
            <v>3.7166405636538901E-5</v>
          </cell>
        </row>
        <row r="549">
          <cell r="A549" t="str">
            <v>SCOM-SHLTHCHPWOD</v>
          </cell>
          <cell r="B549" t="str">
            <v>VAR_cap</v>
          </cell>
          <cell r="C549" t="str">
            <v>-</v>
          </cell>
          <cell r="G549">
            <v>9.9626625540870701E-5</v>
          </cell>
          <cell r="H549">
            <v>1.42719413752386E-4</v>
          </cell>
          <cell r="I549">
            <v>6.3941254875736703E-5</v>
          </cell>
        </row>
        <row r="550">
          <cell r="A550" t="str">
            <v>SCOM-SHSTG-NGAHP</v>
          </cell>
          <cell r="B550" t="str">
            <v>VAR_fout</v>
          </cell>
          <cell r="C550" t="str">
            <v>SCOM-SHANGAH</v>
          </cell>
          <cell r="D550">
            <v>1.61471846091959E-4</v>
          </cell>
          <cell r="E550">
            <v>2.1846597713594815E-4</v>
          </cell>
          <cell r="F550">
            <v>9.2183875139732852E-5</v>
          </cell>
          <cell r="G550">
            <v>4.0198763757849578E-5</v>
          </cell>
          <cell r="H550">
            <v>3.055774168484528E-5</v>
          </cell>
          <cell r="I550">
            <v>8.9551207081670859E-6</v>
          </cell>
        </row>
        <row r="551">
          <cell r="A551" t="str">
            <v>SCOM-SHSTG-NGAHP</v>
          </cell>
          <cell r="B551" t="str">
            <v>VAR_fin</v>
          </cell>
          <cell r="C551" t="str">
            <v>SCOM-SHANGAH</v>
          </cell>
          <cell r="D551">
            <v>1.61471846091959E-4</v>
          </cell>
          <cell r="E551">
            <v>2.1846597713594815E-4</v>
          </cell>
          <cell r="F551">
            <v>1.0522415908257375E-4</v>
          </cell>
          <cell r="G551">
            <v>4.8842564726757529E-5</v>
          </cell>
          <cell r="H551">
            <v>3.1335478420558226E-5</v>
          </cell>
          <cell r="I551">
            <v>4.203410287395943E-6</v>
          </cell>
        </row>
        <row r="552">
          <cell r="A552" t="str">
            <v>SCOM-SHSTG-NGAHP</v>
          </cell>
          <cell r="B552" t="str">
            <v>VAR_ncap</v>
          </cell>
          <cell r="C552" t="str">
            <v>-</v>
          </cell>
          <cell r="D552">
            <v>1.0024173155364E-3</v>
          </cell>
          <cell r="E552">
            <v>7.0368500205192997E-6</v>
          </cell>
          <cell r="F552">
            <v>3.1991893843622297E-2</v>
          </cell>
          <cell r="G552">
            <v>3.1233973904909E-2</v>
          </cell>
          <cell r="H552">
            <v>5.82229198030541E-2</v>
          </cell>
          <cell r="I552">
            <v>0.105626978328315</v>
          </cell>
        </row>
        <row r="553">
          <cell r="A553" t="str">
            <v>SCOM-SHSTG-NGAHP</v>
          </cell>
          <cell r="B553" t="str">
            <v>VAR_cap</v>
          </cell>
          <cell r="C553" t="str">
            <v>-</v>
          </cell>
          <cell r="D553">
            <v>1.0024173155364E-3</v>
          </cell>
          <cell r="E553">
            <v>7.4335867918900837E-6</v>
          </cell>
          <cell r="F553">
            <v>3.1997287587557904E-2</v>
          </cell>
          <cell r="G553">
            <v>6.3227138206877753E-2</v>
          </cell>
          <cell r="H553">
            <v>0.10945143277656381</v>
          </cell>
          <cell r="I553">
            <v>0.15811323941882566</v>
          </cell>
        </row>
        <row r="554">
          <cell r="A554" t="str">
            <v>ITOT-SWHCONBR2</v>
          </cell>
          <cell r="B554" t="str">
            <v>VAR_fout</v>
          </cell>
          <cell r="C554" t="str">
            <v>ITOT-ELS</v>
          </cell>
          <cell r="G554">
            <v>2.1494191715071482E-4</v>
          </cell>
          <cell r="H554">
            <v>0.88010645918201114</v>
          </cell>
          <cell r="I554">
            <v>0.88014459114456833</v>
          </cell>
        </row>
        <row r="555">
          <cell r="A555" t="str">
            <v>ITOT-SWHCONBR2</v>
          </cell>
          <cell r="B555" t="str">
            <v>VAR_fout</v>
          </cell>
          <cell r="C555" t="str">
            <v>ITOT-SWHC</v>
          </cell>
          <cell r="G555">
            <v>3.3225907018740684E-4</v>
          </cell>
          <cell r="H555">
            <v>1.3604761587229255</v>
          </cell>
          <cell r="I555">
            <v>1.360535103439674</v>
          </cell>
        </row>
        <row r="556">
          <cell r="A556" t="str">
            <v>ITOT-SWHCONBR2</v>
          </cell>
          <cell r="B556" t="str">
            <v>VAR_fin</v>
          </cell>
          <cell r="C556" t="str">
            <v>CON</v>
          </cell>
          <cell r="G556">
            <v>5.4720098733812182E-4</v>
          </cell>
          <cell r="H556">
            <v>2.2405826179049368</v>
          </cell>
          <cell r="I556">
            <v>2.2406796945842431</v>
          </cell>
        </row>
        <row r="557">
          <cell r="A557" t="str">
            <v>ITOT-SWHCONBR2</v>
          </cell>
          <cell r="B557" t="str">
            <v>VAR_ncap</v>
          </cell>
          <cell r="C557" t="str">
            <v>-</v>
          </cell>
          <cell r="G557">
            <v>2.88141740477026E-5</v>
          </cell>
          <cell r="H557">
            <v>0.121756826146049</v>
          </cell>
          <cell r="I557">
            <v>3.3460935970157799E-2</v>
          </cell>
        </row>
        <row r="558">
          <cell r="A558" t="str">
            <v>ITOT-SWHCONBR2</v>
          </cell>
          <cell r="B558" t="str">
            <v>VAR_cap</v>
          </cell>
          <cell r="C558" t="str">
            <v>-</v>
          </cell>
          <cell r="G558">
            <v>2.88141740477026E-5</v>
          </cell>
          <cell r="H558">
            <v>0.121853668424922</v>
          </cell>
          <cell r="I558">
            <v>0.12185658582895501</v>
          </cell>
        </row>
        <row r="559">
          <cell r="A559" t="str">
            <v>RHES-SHCONBR1</v>
          </cell>
          <cell r="B559" t="str">
            <v>VAR_fout</v>
          </cell>
          <cell r="C559" t="str">
            <v>RHES-SHCON</v>
          </cell>
          <cell r="D559">
            <v>1.4354531468782163E-2</v>
          </cell>
          <cell r="E559">
            <v>1.1277318035087318</v>
          </cell>
          <cell r="F559">
            <v>0.68974418385031633</v>
          </cell>
          <cell r="G559">
            <v>1.4969406753841699</v>
          </cell>
          <cell r="H559">
            <v>4.1455433734718659</v>
          </cell>
          <cell r="I559">
            <v>6.4142450270789775</v>
          </cell>
        </row>
        <row r="560">
          <cell r="A560" t="str">
            <v>RHES-SHCONBR1</v>
          </cell>
          <cell r="B560" t="str">
            <v>VAR_fin</v>
          </cell>
          <cell r="C560" t="str">
            <v>CON</v>
          </cell>
          <cell r="D560">
            <v>1.4354531468782163E-2</v>
          </cell>
          <cell r="E560">
            <v>1.1277318035087318</v>
          </cell>
          <cell r="F560">
            <v>0.68974418385031633</v>
          </cell>
          <cell r="G560">
            <v>1.4969406753841699</v>
          </cell>
          <cell r="H560">
            <v>4.1455433734718659</v>
          </cell>
          <cell r="I560">
            <v>6.4142450270789775</v>
          </cell>
        </row>
        <row r="561">
          <cell r="A561" t="str">
            <v>RHES-SHCONBR1</v>
          </cell>
          <cell r="B561" t="str">
            <v>VAR_ncap</v>
          </cell>
          <cell r="C561" t="str">
            <v>-</v>
          </cell>
          <cell r="D561">
            <v>4.5550245645406003E-2</v>
          </cell>
          <cell r="E561">
            <v>4.5550243399997498E-2</v>
          </cell>
          <cell r="F561">
            <v>1.4329412013813699E-7</v>
          </cell>
          <cell r="G561">
            <v>2.9869186111713401E-2</v>
          </cell>
          <cell r="H561">
            <v>7.9204518319462E-2</v>
          </cell>
          <cell r="I561">
            <v>0.22520603781600201</v>
          </cell>
        </row>
        <row r="562">
          <cell r="A562" t="str">
            <v>RHES-SHCONBR1</v>
          </cell>
          <cell r="B562" t="str">
            <v>VAR_cap</v>
          </cell>
          <cell r="C562" t="str">
            <v>-</v>
          </cell>
          <cell r="D562">
            <v>4.5550245645406003E-2</v>
          </cell>
          <cell r="E562">
            <v>9.1100478984211294E-2</v>
          </cell>
          <cell r="F562">
            <v>9.1099098390029346E-2</v>
          </cell>
          <cell r="G562">
            <v>0.12096930257101858</v>
          </cell>
          <cell r="H562">
            <v>0.334908720690754</v>
          </cell>
          <cell r="I562">
            <v>0.51819064614637189</v>
          </cell>
        </row>
        <row r="563">
          <cell r="A563" t="str">
            <v>ITOT-SWHCONBR3</v>
          </cell>
          <cell r="B563" t="str">
            <v>VAR_fout</v>
          </cell>
          <cell r="C563" t="str">
            <v>ITOT-ELS</v>
          </cell>
          <cell r="G563">
            <v>1.3139861392313471E-4</v>
          </cell>
          <cell r="H563">
            <v>6.5104597966487196E-4</v>
          </cell>
          <cell r="I563">
            <v>0.71235251764753904</v>
          </cell>
        </row>
        <row r="564">
          <cell r="A564" t="str">
            <v>ITOT-SWHCONBR3</v>
          </cell>
          <cell r="B564" t="str">
            <v>VAR_fout</v>
          </cell>
          <cell r="C564" t="str">
            <v>ITOT-SWHC</v>
          </cell>
          <cell r="G564">
            <v>2.6076800312610889E-4</v>
          </cell>
          <cell r="H564">
            <v>1.2920376782650307E-3</v>
          </cell>
          <cell r="I564">
            <v>1.4137039806026412</v>
          </cell>
        </row>
        <row r="565">
          <cell r="A565" t="str">
            <v>ITOT-SWHCONBR3</v>
          </cell>
          <cell r="B565" t="str">
            <v>VAR_fin</v>
          </cell>
          <cell r="C565" t="str">
            <v>CON</v>
          </cell>
          <cell r="G565">
            <v>3.9216661704924368E-4</v>
          </cell>
          <cell r="H565">
            <v>1.9430836579299015E-3</v>
          </cell>
          <cell r="I565">
            <v>2.1260564982501817</v>
          </cell>
        </row>
        <row r="566">
          <cell r="A566" t="str">
            <v>ITOT-SWHCONBR3</v>
          </cell>
          <cell r="B566" t="str">
            <v>VAR_ncap</v>
          </cell>
          <cell r="C566" t="str">
            <v>-</v>
          </cell>
          <cell r="G566">
            <v>1.9858465747476199E-5</v>
          </cell>
          <cell r="H566">
            <v>5.6222807131031002E-5</v>
          </cell>
          <cell r="I566">
            <v>0.11556725302774901</v>
          </cell>
        </row>
        <row r="567">
          <cell r="A567" t="str">
            <v>ITOT-SWHCONBR3</v>
          </cell>
          <cell r="B567" t="str">
            <v>VAR_cap</v>
          </cell>
          <cell r="C567" t="str">
            <v>-</v>
          </cell>
          <cell r="G567">
            <v>1.9858465747476199E-5</v>
          </cell>
          <cell r="H567">
            <v>1.04129002401E-4</v>
          </cell>
          <cell r="I567">
            <v>0.11562258276612</v>
          </cell>
        </row>
        <row r="568">
          <cell r="A568" t="str">
            <v>ITOT-ELCSPECADV</v>
          </cell>
          <cell r="B568" t="str">
            <v>VAR_fout</v>
          </cell>
          <cell r="C568" t="str">
            <v>ITOT-ELS</v>
          </cell>
          <cell r="G568">
            <v>4.626260620026967E-4</v>
          </cell>
          <cell r="H568">
            <v>1.4852115463531198E-3</v>
          </cell>
          <cell r="I568">
            <v>0.4584879792800175</v>
          </cell>
        </row>
        <row r="569">
          <cell r="A569" t="str">
            <v>ITOT-ELCSPECADV</v>
          </cell>
          <cell r="B569" t="str">
            <v>VAR_fin</v>
          </cell>
          <cell r="C569" t="str">
            <v>ITOT_ELC</v>
          </cell>
          <cell r="G569">
            <v>3.9833479333786645E-4</v>
          </cell>
          <cell r="H569">
            <v>1.2165944939478658E-3</v>
          </cell>
          <cell r="I569">
            <v>0.33661654557222759</v>
          </cell>
        </row>
        <row r="570">
          <cell r="A570" t="str">
            <v>ITOT-ELCSPECADV</v>
          </cell>
          <cell r="B570" t="str">
            <v>VAR_ncap</v>
          </cell>
          <cell r="C570" t="str">
            <v>-</v>
          </cell>
          <cell r="G570">
            <v>3.4345541281415899E-5</v>
          </cell>
          <cell r="H570">
            <v>2.7670671987276E-6</v>
          </cell>
          <cell r="I570">
            <v>2.4858287171988801E-2</v>
          </cell>
        </row>
        <row r="571">
          <cell r="A571" t="str">
            <v>ITOT-ELCSPECADV</v>
          </cell>
          <cell r="B571" t="str">
            <v>VAR_cap</v>
          </cell>
          <cell r="C571" t="str">
            <v>-</v>
          </cell>
          <cell r="G571">
            <v>3.4345541281415899E-5</v>
          </cell>
          <cell r="H571">
            <v>8.7309954236526764E-5</v>
          </cell>
          <cell r="I571">
            <v>2.493340349408224E-2</v>
          </cell>
        </row>
        <row r="572">
          <cell r="A572" t="str">
            <v>RHES-SHELCBR</v>
          </cell>
          <cell r="B572" t="str">
            <v>VAR_fout</v>
          </cell>
          <cell r="C572" t="str">
            <v>RHES-SHAELCB</v>
          </cell>
          <cell r="D572">
            <v>4.2800078559220163</v>
          </cell>
          <cell r="E572">
            <v>4.48868276773843</v>
          </cell>
          <cell r="F572">
            <v>0.78643088523614491</v>
          </cell>
          <cell r="G572">
            <v>0.19153183263956919</v>
          </cell>
          <cell r="H572">
            <v>3.9024359227506447E-3</v>
          </cell>
          <cell r="I572">
            <v>1.9317696356944418E-3</v>
          </cell>
        </row>
        <row r="573">
          <cell r="A573" t="str">
            <v>RHES-SHELCBR</v>
          </cell>
          <cell r="B573" t="str">
            <v>VAR_fin</v>
          </cell>
          <cell r="C573" t="str">
            <v>RHES_ELC</v>
          </cell>
          <cell r="D573">
            <v>4.5052714272863339</v>
          </cell>
          <cell r="E573">
            <v>4.7249292291983496</v>
          </cell>
          <cell r="F573">
            <v>0.85714071589758889</v>
          </cell>
          <cell r="G573">
            <v>0.20811026674573607</v>
          </cell>
          <cell r="H573">
            <v>4.155346822730074E-3</v>
          </cell>
          <cell r="I573">
            <v>2.0471998596534036E-3</v>
          </cell>
        </row>
        <row r="574">
          <cell r="A574" t="str">
            <v>RHES-SHELCBR</v>
          </cell>
          <cell r="B574" t="str">
            <v>VAR_ncap</v>
          </cell>
          <cell r="C574" t="str">
            <v>-</v>
          </cell>
          <cell r="D574">
            <v>1.15826901561534E-7</v>
          </cell>
          <cell r="E574">
            <v>1.6874962374531399E-2</v>
          </cell>
          <cell r="F574">
            <v>1.16344016238939E-7</v>
          </cell>
          <cell r="G574">
            <v>2.2158020895942201E-7</v>
          </cell>
          <cell r="H574">
            <v>3.3862927607556401E-4</v>
          </cell>
          <cell r="I574">
            <v>1.54708623184347E-7</v>
          </cell>
        </row>
        <row r="575">
          <cell r="A575" t="str">
            <v>RHES-SHELCBR</v>
          </cell>
          <cell r="B575" t="str">
            <v>VAR_cap</v>
          </cell>
          <cell r="C575" t="str">
            <v>-</v>
          </cell>
          <cell r="D575">
            <v>0.34576941570323455</v>
          </cell>
          <cell r="E575">
            <v>0.36264425680317103</v>
          </cell>
          <cell r="F575">
            <v>0.10939233504234519</v>
          </cell>
          <cell r="G575">
            <v>2.6633364578308172E-2</v>
          </cell>
          <cell r="H575">
            <v>3.401979671040882E-4</v>
          </cell>
          <cell r="I575">
            <v>1.7016619476187966E-4</v>
          </cell>
        </row>
        <row r="576">
          <cell r="A576" t="str">
            <v>RHSA-WHELCBR</v>
          </cell>
          <cell r="B576" t="str">
            <v>VAR_fout</v>
          </cell>
          <cell r="C576" t="str">
            <v>RHSA-WHAELCB</v>
          </cell>
          <cell r="D576">
            <v>6.6447289260496358</v>
          </cell>
          <cell r="E576">
            <v>6.9687138449708081</v>
          </cell>
          <cell r="F576">
            <v>2.8215217373917607</v>
          </cell>
          <cell r="G576">
            <v>2.2281165781479131</v>
          </cell>
          <cell r="H576">
            <v>1.8868340458911121</v>
          </cell>
          <cell r="I576">
            <v>1.6959024514411163</v>
          </cell>
        </row>
        <row r="577">
          <cell r="A577" t="str">
            <v>RHSA-WHELCBR</v>
          </cell>
          <cell r="B577" t="str">
            <v>VAR_fin</v>
          </cell>
          <cell r="C577" t="str">
            <v>RHSA_ELC</v>
          </cell>
          <cell r="D577">
            <v>8.4110492734805504</v>
          </cell>
          <cell r="E577">
            <v>8.7988811173873902</v>
          </cell>
          <cell r="F577">
            <v>6.0580128061052489</v>
          </cell>
          <cell r="G577">
            <v>4.6223945173381562</v>
          </cell>
          <cell r="H577">
            <v>3.7544345070832801</v>
          </cell>
          <cell r="I577">
            <v>3.2832737227471021</v>
          </cell>
        </row>
        <row r="578">
          <cell r="A578" t="str">
            <v>RHSA-WHELCBR</v>
          </cell>
          <cell r="B578" t="str">
            <v>VAR_ncap</v>
          </cell>
          <cell r="C578" t="str">
            <v>-</v>
          </cell>
          <cell r="D578">
            <v>7.5852000973132104E-6</v>
          </cell>
          <cell r="E578">
            <v>3.5017599191757301E-2</v>
          </cell>
          <cell r="F578">
            <v>2.0607642152797699E-7</v>
          </cell>
          <cell r="G578">
            <v>3.3490293142767298E-7</v>
          </cell>
          <cell r="H578">
            <v>9.5520781339830094E-2</v>
          </cell>
          <cell r="I578">
            <v>3.0230971506027899E-2</v>
          </cell>
        </row>
        <row r="579">
          <cell r="A579" t="str">
            <v>RHSA-WHELCBR</v>
          </cell>
          <cell r="B579" t="str">
            <v>VAR_cap</v>
          </cell>
          <cell r="C579" t="str">
            <v>-</v>
          </cell>
          <cell r="D579">
            <v>0.4375761739737743</v>
          </cell>
          <cell r="E579">
            <v>0.47259353876039872</v>
          </cell>
          <cell r="F579">
            <v>0.33131115471619621</v>
          </cell>
          <cell r="G579">
            <v>0.26870210293218161</v>
          </cell>
          <cell r="H579">
            <v>0.15845297062754354</v>
          </cell>
          <cell r="I579">
            <v>0.12617338859356583</v>
          </cell>
        </row>
        <row r="580">
          <cell r="A580" t="str">
            <v>ITOT-SWHLTHDH</v>
          </cell>
          <cell r="B580" t="str">
            <v>VAR_fout</v>
          </cell>
          <cell r="C580" t="str">
            <v>ITOT-SWH</v>
          </cell>
          <cell r="D580">
            <v>6.5822834449050616</v>
          </cell>
          <cell r="E580">
            <v>7.067853364862529</v>
          </cell>
          <cell r="F580">
            <v>6.8486523893728046</v>
          </cell>
          <cell r="G580">
            <v>7.2856610928738919</v>
          </cell>
          <cell r="H580">
            <v>7.7132133218416694</v>
          </cell>
          <cell r="I580">
            <v>8.2734818795582932</v>
          </cell>
        </row>
        <row r="581">
          <cell r="A581" t="str">
            <v>ITOT-SWHLTHDH</v>
          </cell>
          <cell r="B581" t="str">
            <v>VAR_fin</v>
          </cell>
          <cell r="C581" t="str">
            <v>ITOT_LTH_DH</v>
          </cell>
          <cell r="D581">
            <v>7.1200134745059689</v>
          </cell>
          <cell r="E581">
            <v>7.6289112348133807</v>
          </cell>
          <cell r="F581">
            <v>7.368686244458055</v>
          </cell>
          <cell r="G581">
            <v>7.7973482620782946</v>
          </cell>
          <cell r="H581">
            <v>8.1683775362205644</v>
          </cell>
          <cell r="I581">
            <v>8.7089282942718889</v>
          </cell>
        </row>
        <row r="582">
          <cell r="A582" t="str">
            <v>ITOT-SWHLTHDH</v>
          </cell>
          <cell r="B582" t="str">
            <v>VAR_fin</v>
          </cell>
          <cell r="C582" t="str">
            <v>ITOTLTHDHC</v>
          </cell>
          <cell r="D582">
            <v>6.5822834449050616</v>
          </cell>
          <cell r="E582">
            <v>7.067853364862529</v>
          </cell>
          <cell r="F582">
            <v>6.8486523893728046</v>
          </cell>
          <cell r="G582">
            <v>7.2856610928738919</v>
          </cell>
          <cell r="H582">
            <v>7.7132133218416694</v>
          </cell>
          <cell r="I582">
            <v>8.2734818795582932</v>
          </cell>
        </row>
        <row r="583">
          <cell r="A583" t="str">
            <v>ITOT-SWHLTHDH</v>
          </cell>
          <cell r="B583" t="str">
            <v>VAR_ncap</v>
          </cell>
          <cell r="C583" t="str">
            <v>-</v>
          </cell>
          <cell r="E583">
            <v>3.3501373508924702E-2</v>
          </cell>
          <cell r="F583">
            <v>7.2001929861522193E-2</v>
          </cell>
          <cell r="G583">
            <v>0.16794407945353401</v>
          </cell>
          <cell r="H583">
            <v>0.26420191453985498</v>
          </cell>
          <cell r="I583">
            <v>0.32448226270797897</v>
          </cell>
        </row>
        <row r="584">
          <cell r="A584" t="str">
            <v>ITOT-SWHLTHDH</v>
          </cell>
          <cell r="B584" t="str">
            <v>VAR_cap</v>
          </cell>
          <cell r="C584" t="str">
            <v>-</v>
          </cell>
          <cell r="D584">
            <v>0.79547229253225304</v>
          </cell>
          <cell r="E584">
            <v>0.57596464113434376</v>
          </cell>
          <cell r="F584">
            <v>0.61465235546443009</v>
          </cell>
          <cell r="G584">
            <v>0.75083736688068692</v>
          </cell>
          <cell r="H584">
            <v>0.79476252748951326</v>
          </cell>
          <cell r="I584">
            <v>0.67865403946400571</v>
          </cell>
        </row>
        <row r="585">
          <cell r="A585" t="str">
            <v>RHES-SHCONBR2</v>
          </cell>
          <cell r="B585" t="str">
            <v>VAR_fout</v>
          </cell>
          <cell r="C585" t="str">
            <v>RHES-SHCON</v>
          </cell>
          <cell r="D585">
            <v>1.2630231112303044E-2</v>
          </cell>
          <cell r="E585">
            <v>0.82075137572939916</v>
          </cell>
          <cell r="F585">
            <v>0.48389242014805678</v>
          </cell>
          <cell r="G585">
            <v>0.82047379119161523</v>
          </cell>
          <cell r="H585">
            <v>1.6709019482916494</v>
          </cell>
          <cell r="I585">
            <v>3.4198132307795626</v>
          </cell>
        </row>
        <row r="586">
          <cell r="A586" t="str">
            <v>RHES-SHCONBR2</v>
          </cell>
          <cell r="B586" t="str">
            <v>VAR_fin</v>
          </cell>
          <cell r="C586" t="str">
            <v>CON</v>
          </cell>
          <cell r="D586">
            <v>1.2630231112303044E-2</v>
          </cell>
          <cell r="E586">
            <v>0.82075137572939916</v>
          </cell>
          <cell r="F586">
            <v>0.48389242014805678</v>
          </cell>
          <cell r="G586">
            <v>0.82047379119161523</v>
          </cell>
          <cell r="H586">
            <v>1.6709019482916494</v>
          </cell>
          <cell r="I586">
            <v>3.4198132307795626</v>
          </cell>
        </row>
        <row r="587">
          <cell r="A587" t="str">
            <v>RHES-SHCONBR2</v>
          </cell>
          <cell r="B587" t="str">
            <v>VAR_ncap</v>
          </cell>
          <cell r="C587" t="str">
            <v>-</v>
          </cell>
          <cell r="D587">
            <v>3.3150123947690097E-2</v>
          </cell>
          <cell r="E587">
            <v>3.3150122639540203E-2</v>
          </cell>
          <cell r="F587">
            <v>1.4398993296355501E-7</v>
          </cell>
          <cell r="G587">
            <v>1.80740351674465E-5</v>
          </cell>
          <cell r="H587">
            <v>5.8957528245356897E-2</v>
          </cell>
          <cell r="I587">
            <v>0.17180032205380399</v>
          </cell>
        </row>
        <row r="588">
          <cell r="A588" t="str">
            <v>RHES-SHCONBR2</v>
          </cell>
          <cell r="B588" t="str">
            <v>VAR_cap</v>
          </cell>
          <cell r="C588" t="str">
            <v>-</v>
          </cell>
          <cell r="D588">
            <v>3.3150123947690097E-2</v>
          </cell>
          <cell r="E588">
            <v>6.6300236569301549E-2</v>
          </cell>
          <cell r="F588">
            <v>6.6298882774438544E-2</v>
          </cell>
          <cell r="G588">
            <v>6.6317958536694629E-2</v>
          </cell>
          <cell r="H588">
            <v>0.13498789693178334</v>
          </cell>
          <cell r="I588">
            <v>0.27627710136294759</v>
          </cell>
        </row>
        <row r="589">
          <cell r="A589" t="str">
            <v>ITOT-SWHCONBR4</v>
          </cell>
          <cell r="B589" t="str">
            <v>VAR_fout</v>
          </cell>
          <cell r="C589" t="str">
            <v>ITOT-ELS</v>
          </cell>
          <cell r="H589">
            <v>2.3714237079681507E-4</v>
          </cell>
          <cell r="I589">
            <v>1.075294406110473E-3</v>
          </cell>
        </row>
        <row r="590">
          <cell r="A590" t="str">
            <v>ITOT-SWHCONBR4</v>
          </cell>
          <cell r="B590" t="str">
            <v>VAR_fout</v>
          </cell>
          <cell r="C590" t="str">
            <v>ITOT-SWHC</v>
          </cell>
          <cell r="H590">
            <v>2.5484596021579453E-3</v>
          </cell>
          <cell r="I590">
            <v>1.1555692663403888E-2</v>
          </cell>
        </row>
        <row r="591">
          <cell r="A591" t="str">
            <v>ITOT-SWHCONBR4</v>
          </cell>
          <cell r="B591" t="str">
            <v>VAR_fin</v>
          </cell>
          <cell r="C591" t="str">
            <v>CON</v>
          </cell>
          <cell r="H591">
            <v>2.7856019729547601E-3</v>
          </cell>
          <cell r="I591">
            <v>1.2630987069514349E-2</v>
          </cell>
        </row>
        <row r="592">
          <cell r="A592" t="str">
            <v>ITOT-SWHCONBR4</v>
          </cell>
          <cell r="B592" t="str">
            <v>VAR_ncap</v>
          </cell>
          <cell r="C592" t="str">
            <v>-</v>
          </cell>
          <cell r="H592">
            <v>4.20779267548127E-5</v>
          </cell>
          <cell r="I592">
            <v>6.0957165613361797E-4</v>
          </cell>
        </row>
        <row r="593">
          <cell r="A593" t="str">
            <v>ITOT-SWHCONBR4</v>
          </cell>
          <cell r="B593" t="str">
            <v>VAR_cap</v>
          </cell>
          <cell r="C593" t="str">
            <v>-</v>
          </cell>
          <cell r="H593">
            <v>1.4950132154099301E-4</v>
          </cell>
          <cell r="I593">
            <v>6.8554853961847698E-4</v>
          </cell>
        </row>
        <row r="594">
          <cell r="A594" t="str">
            <v>D-ITOT_NKEV_GAS_ELC_CHP</v>
          </cell>
          <cell r="B594" t="str">
            <v>VAR_fout</v>
          </cell>
          <cell r="C594" t="str">
            <v>ITOT_ELC</v>
          </cell>
          <cell r="D594">
            <v>0.66681011542104318</v>
          </cell>
          <cell r="E594">
            <v>8.8589834763556682E-2</v>
          </cell>
          <cell r="F594">
            <v>6.3262449531583317E-2</v>
          </cell>
          <cell r="G594">
            <v>0.41364676959108621</v>
          </cell>
          <cell r="H594">
            <v>5.8818588833210436E-2</v>
          </cell>
          <cell r="I594">
            <v>1.2761223901924463E-2</v>
          </cell>
        </row>
        <row r="595">
          <cell r="A595" t="str">
            <v>D-ITOT_NKEV_GAS_ELC_CHP</v>
          </cell>
          <cell r="B595" t="str">
            <v>VAR_fout</v>
          </cell>
          <cell r="C595" t="str">
            <v>ELC5</v>
          </cell>
          <cell r="D595">
            <v>3.1777693397005246E-3</v>
          </cell>
          <cell r="E595">
            <v>1.8120854077884854E-3</v>
          </cell>
          <cell r="F595">
            <v>1.4748500774165783E-3</v>
          </cell>
          <cell r="G595">
            <v>1.8225027629617011E-3</v>
          </cell>
          <cell r="H595">
            <v>3.2513064223853982E-3</v>
          </cell>
          <cell r="I595">
            <v>2.4821175170357175E-3</v>
          </cell>
        </row>
        <row r="596">
          <cell r="A596" t="str">
            <v>D-ITOT_NKEV_GAS_ELC_CHP</v>
          </cell>
          <cell r="B596" t="str">
            <v>VAR_fin</v>
          </cell>
          <cell r="C596" t="str">
            <v>ITOT_NKEV_GAS_ELC_CHP</v>
          </cell>
          <cell r="D596">
            <v>0.66998788476074311</v>
          </cell>
          <cell r="E596">
            <v>9.0401920171345143E-2</v>
          </cell>
          <cell r="F596">
            <v>6.4727424723071594E-2</v>
          </cell>
          <cell r="G596">
            <v>0.41546927235404796</v>
          </cell>
          <cell r="H596">
            <v>6.2069895255595781E-2</v>
          </cell>
          <cell r="I596">
            <v>1.5243341418960173E-2</v>
          </cell>
        </row>
        <row r="597">
          <cell r="A597" t="str">
            <v>SCOM-SHELCBR</v>
          </cell>
          <cell r="B597" t="str">
            <v>VAR_fout</v>
          </cell>
          <cell r="C597" t="str">
            <v>SCOM-SHAELCB</v>
          </cell>
          <cell r="D597">
            <v>2.3940673678832796</v>
          </cell>
          <cell r="E597">
            <v>0.59041332512534817</v>
          </cell>
          <cell r="F597">
            <v>0.52182633908505482</v>
          </cell>
          <cell r="G597">
            <v>0.35400214811426484</v>
          </cell>
          <cell r="H597">
            <v>0.26253227074992136</v>
          </cell>
          <cell r="I597">
            <v>0.19372157278804539</v>
          </cell>
        </row>
        <row r="598">
          <cell r="A598" t="str">
            <v>SCOM-SHELCBR</v>
          </cell>
          <cell r="B598" t="str">
            <v>VAR_fin</v>
          </cell>
          <cell r="C598" t="str">
            <v>SCOM_ELC</v>
          </cell>
          <cell r="D598">
            <v>2.6236354716529089</v>
          </cell>
          <cell r="E598">
            <v>0.64526046461786668</v>
          </cell>
          <cell r="F598">
            <v>1.1043577209507007</v>
          </cell>
          <cell r="G598">
            <v>0.72939087580658435</v>
          </cell>
          <cell r="H598">
            <v>0.52257596503694448</v>
          </cell>
          <cell r="I598">
            <v>0.3690119480059682</v>
          </cell>
        </row>
        <row r="599">
          <cell r="A599" t="str">
            <v>SCOM-SHELCBR</v>
          </cell>
          <cell r="B599" t="str">
            <v>VAR_ncap</v>
          </cell>
          <cell r="C599" t="str">
            <v>-</v>
          </cell>
          <cell r="D599">
            <v>1.4972537189435399E-6</v>
          </cell>
          <cell r="E599">
            <v>7.7479401702703198E-7</v>
          </cell>
          <cell r="F599">
            <v>6.6745526418348099E-7</v>
          </cell>
          <cell r="G599">
            <v>1.23573468138826E-6</v>
          </cell>
          <cell r="H599">
            <v>2.0249680976091401E-2</v>
          </cell>
          <cell r="I599">
            <v>2.4075372936223799E-5</v>
          </cell>
        </row>
        <row r="600">
          <cell r="A600" t="str">
            <v>SCOM-SHELCBR</v>
          </cell>
          <cell r="B600" t="str">
            <v>VAR_cap</v>
          </cell>
          <cell r="C600" t="str">
            <v>-</v>
          </cell>
          <cell r="D600">
            <v>0.18498954560516095</v>
          </cell>
          <cell r="E600">
            <v>7.2246197399741988E-2</v>
          </cell>
          <cell r="F600">
            <v>6.9339744000484149E-2</v>
          </cell>
          <cell r="G600">
            <v>4.6403171473432536E-2</v>
          </cell>
          <cell r="H600">
            <v>3.4670017594961702E-2</v>
          </cell>
          <cell r="I600">
            <v>2.0818436793850183E-2</v>
          </cell>
        </row>
        <row r="601">
          <cell r="A601" t="str">
            <v>RHES-SHCONBR3</v>
          </cell>
          <cell r="B601" t="str">
            <v>VAR_fout</v>
          </cell>
          <cell r="C601" t="str">
            <v>RHES-SHCON</v>
          </cell>
          <cell r="D601">
            <v>1.53742029630318E-2</v>
          </cell>
          <cell r="E601">
            <v>1.3555987204603634</v>
          </cell>
          <cell r="F601">
            <v>0.84813589192940342</v>
          </cell>
          <cell r="G601">
            <v>1.3550961582211425</v>
          </cell>
          <cell r="H601">
            <v>1.3555264711870085</v>
          </cell>
          <cell r="I601">
            <v>0.73173843790162973</v>
          </cell>
        </row>
        <row r="602">
          <cell r="A602" t="str">
            <v>RHES-SHCONBR3</v>
          </cell>
          <cell r="B602" t="str">
            <v>VAR_fin</v>
          </cell>
          <cell r="C602" t="str">
            <v>CON</v>
          </cell>
          <cell r="D602">
            <v>1.53742029630318E-2</v>
          </cell>
          <cell r="E602">
            <v>1.3555987204603634</v>
          </cell>
          <cell r="F602">
            <v>0.84813589192940342</v>
          </cell>
          <cell r="G602">
            <v>1.3550961582211425</v>
          </cell>
          <cell r="H602">
            <v>1.3555264711870085</v>
          </cell>
          <cell r="I602">
            <v>0.73173843790162973</v>
          </cell>
        </row>
        <row r="603">
          <cell r="A603" t="str">
            <v>RHES-SHCONBR3</v>
          </cell>
          <cell r="B603" t="str">
            <v>VAR_ncap</v>
          </cell>
          <cell r="C603" t="str">
            <v>-</v>
          </cell>
          <cell r="D603">
            <v>5.47546166767965E-2</v>
          </cell>
          <cell r="E603">
            <v>5.4754715974817299E-2</v>
          </cell>
          <cell r="F603">
            <v>2.6884121324745599E-8</v>
          </cell>
          <cell r="G603">
            <v>3.71509478023491E-8</v>
          </cell>
          <cell r="H603">
            <v>4.9086203675671097E-8</v>
          </cell>
          <cell r="I603">
            <v>7.4806247509301996E-8</v>
          </cell>
        </row>
        <row r="604">
          <cell r="A604" t="str">
            <v>RHES-SHCONBR3</v>
          </cell>
          <cell r="B604" t="str">
            <v>VAR_cap</v>
          </cell>
          <cell r="C604" t="str">
            <v>-</v>
          </cell>
          <cell r="D604">
            <v>5.47546166767965E-2</v>
          </cell>
          <cell r="E604">
            <v>0.109509332651614</v>
          </cell>
          <cell r="F604">
            <v>0.10950781605258313</v>
          </cell>
          <cell r="G604">
            <v>0.10950889356996243</v>
          </cell>
          <cell r="H604">
            <v>0.10950927913241001</v>
          </cell>
          <cell r="I604">
            <v>5.9113583189372695E-2</v>
          </cell>
        </row>
        <row r="605">
          <cell r="A605" t="str">
            <v>ITOT-SWHCONBR5</v>
          </cell>
          <cell r="B605" t="str">
            <v>VAR_fout</v>
          </cell>
          <cell r="C605" t="str">
            <v>ITOT-ELS</v>
          </cell>
          <cell r="H605">
            <v>1.6016792522667968E-4</v>
          </cell>
          <cell r="I605">
            <v>1.433154950010728E-4</v>
          </cell>
        </row>
        <row r="606">
          <cell r="A606" t="str">
            <v>ITOT-SWHCONBR5</v>
          </cell>
          <cell r="B606" t="str">
            <v>VAR_fout</v>
          </cell>
          <cell r="C606" t="str">
            <v>ITOT-SWHC</v>
          </cell>
          <cell r="H606">
            <v>7.8560388893308248E-4</v>
          </cell>
          <cell r="I606">
            <v>7.0294480032671457E-4</v>
          </cell>
        </row>
        <row r="607">
          <cell r="A607" t="str">
            <v>ITOT-SWHCONBR5</v>
          </cell>
          <cell r="B607" t="str">
            <v>VAR_fin</v>
          </cell>
          <cell r="C607" t="str">
            <v>CON</v>
          </cell>
          <cell r="H607">
            <v>9.4577181415976129E-4</v>
          </cell>
          <cell r="I607">
            <v>8.4626029532778712E-4</v>
          </cell>
        </row>
        <row r="608">
          <cell r="A608" t="str">
            <v>ITOT-SWHCONBR5</v>
          </cell>
          <cell r="B608" t="str">
            <v>VAR_ncap</v>
          </cell>
          <cell r="C608" t="str">
            <v>-</v>
          </cell>
          <cell r="H608">
            <v>6.2577087034220301E-6</v>
          </cell>
          <cell r="I608">
            <v>2.1797837655004999E-5</v>
          </cell>
        </row>
        <row r="609">
          <cell r="A609" t="str">
            <v>ITOT-SWHCONBR5</v>
          </cell>
          <cell r="B609" t="str">
            <v>VAR_cap</v>
          </cell>
          <cell r="C609" t="str">
            <v>-</v>
          </cell>
          <cell r="H609">
            <v>4.8990483175728997E-5</v>
          </cell>
          <cell r="I609">
            <v>4.4415001682576503E-5</v>
          </cell>
        </row>
        <row r="610">
          <cell r="A610" t="str">
            <v>RHES-SHSTG-ELC</v>
          </cell>
          <cell r="B610" t="str">
            <v>VAR_fout</v>
          </cell>
          <cell r="C610" t="str">
            <v>RHES-SHAELCB</v>
          </cell>
          <cell r="E610">
            <v>0.7851403151735018</v>
          </cell>
          <cell r="F610">
            <v>0.12730190829557503</v>
          </cell>
          <cell r="G610">
            <v>3.8340750703638612E-2</v>
          </cell>
          <cell r="H610">
            <v>3.3146059230510291E-4</v>
          </cell>
          <cell r="I610">
            <v>2.0037824596556166E-4</v>
          </cell>
        </row>
        <row r="611">
          <cell r="A611" t="str">
            <v>RHES-SHSTG-ELC</v>
          </cell>
          <cell r="B611" t="str">
            <v>VAR_fin</v>
          </cell>
          <cell r="C611" t="str">
            <v>RHES-SHAELCB</v>
          </cell>
          <cell r="D611">
            <v>2.822641047278168E-5</v>
          </cell>
          <cell r="E611">
            <v>0.78517029295558183</v>
          </cell>
          <cell r="F611">
            <v>0.12730471153205039</v>
          </cell>
          <cell r="G611">
            <v>3.8342116347745162E-2</v>
          </cell>
          <cell r="H611">
            <v>3.3692884053449656E-4</v>
          </cell>
          <cell r="I611">
            <v>2.0660314519849071E-4</v>
          </cell>
        </row>
        <row r="612">
          <cell r="A612" t="str">
            <v>RHES-SHSTG-ELC</v>
          </cell>
          <cell r="B612" t="str">
            <v>VAR_ncap</v>
          </cell>
          <cell r="C612" t="str">
            <v>-</v>
          </cell>
          <cell r="D612">
            <v>7.71155756463574E-3</v>
          </cell>
          <cell r="E612">
            <v>5.6294200740369102E-2</v>
          </cell>
          <cell r="F612">
            <v>4.2178035588680496E-6</v>
          </cell>
          <cell r="G612">
            <v>7.3880303730144904E-6</v>
          </cell>
          <cell r="H612">
            <v>5.7347751911118002E-5</v>
          </cell>
          <cell r="I612">
            <v>1.66613846695723E-5</v>
          </cell>
        </row>
        <row r="613">
          <cell r="A613" t="str">
            <v>RHES-SHSTG-ELC</v>
          </cell>
          <cell r="B613" t="str">
            <v>VAR_cap</v>
          </cell>
          <cell r="C613" t="str">
            <v>-</v>
          </cell>
          <cell r="D613">
            <v>7.71155756463574E-3</v>
          </cell>
          <cell r="E613">
            <v>6.3996089178598475E-2</v>
          </cell>
          <cell r="F613">
            <v>1.9303867860639298E-2</v>
          </cell>
          <cell r="G613">
            <v>4.7007928391672033E-3</v>
          </cell>
          <cell r="H613">
            <v>5.8428947627050597E-5</v>
          </cell>
          <cell r="I613">
            <v>4.5216596251171804E-5</v>
          </cell>
        </row>
        <row r="614">
          <cell r="A614" t="str">
            <v>RHES-SHCONBR4</v>
          </cell>
          <cell r="B614" t="str">
            <v>VAR_fout</v>
          </cell>
          <cell r="C614" t="str">
            <v>RHES-SHCON</v>
          </cell>
          <cell r="E614">
            <v>0.42675967337546761</v>
          </cell>
          <cell r="F614">
            <v>0.23465137651425946</v>
          </cell>
          <cell r="G614">
            <v>0.42629841623586401</v>
          </cell>
          <cell r="H614">
            <v>0.42670200685397069</v>
          </cell>
          <cell r="I614">
            <v>0.24669392798083251</v>
          </cell>
        </row>
        <row r="615">
          <cell r="A615" t="str">
            <v>RHES-SHCONBR4</v>
          </cell>
          <cell r="B615" t="str">
            <v>VAR_fin</v>
          </cell>
          <cell r="C615" t="str">
            <v>CON</v>
          </cell>
          <cell r="E615">
            <v>0.42675967337546761</v>
          </cell>
          <cell r="F615">
            <v>0.23465137651425946</v>
          </cell>
          <cell r="G615">
            <v>0.42629841623586401</v>
          </cell>
          <cell r="H615">
            <v>0.42670200685397069</v>
          </cell>
          <cell r="I615">
            <v>0.24669392798083251</v>
          </cell>
        </row>
        <row r="616">
          <cell r="A616" t="str">
            <v>RHES-SHCONBR4</v>
          </cell>
          <cell r="B616" t="str">
            <v>VAR_ncap</v>
          </cell>
          <cell r="C616" t="str">
            <v>-</v>
          </cell>
          <cell r="E616">
            <v>3.4470880238226503E-2</v>
          </cell>
          <cell r="F616">
            <v>2.2184152507387702E-8</v>
          </cell>
          <cell r="G616">
            <v>2.8467115427581699E-8</v>
          </cell>
          <cell r="H616">
            <v>3.4909719322082497E-8</v>
          </cell>
          <cell r="I616">
            <v>5.3283116107439001E-8</v>
          </cell>
        </row>
        <row r="617">
          <cell r="A617" t="str">
            <v>RHES-SHCONBR4</v>
          </cell>
          <cell r="B617" t="str">
            <v>VAR_cap</v>
          </cell>
          <cell r="C617" t="str">
            <v>-</v>
          </cell>
          <cell r="E617">
            <v>3.4470880238226503E-2</v>
          </cell>
          <cell r="F617">
            <v>3.4470182161158214E-2</v>
          </cell>
          <cell r="G617">
            <v>3.4470637309686067E-2</v>
          </cell>
          <cell r="H617">
            <v>3.4470837013013907E-2</v>
          </cell>
          <cell r="I617">
            <v>1.9927720306855166E-2</v>
          </cell>
        </row>
        <row r="618">
          <cell r="A618" t="str">
            <v>ITOT-SWHCONBR6</v>
          </cell>
          <cell r="B618" t="str">
            <v>VAR_fout</v>
          </cell>
          <cell r="C618" t="str">
            <v>ITOT-SWHC</v>
          </cell>
          <cell r="H618">
            <v>4.4721067168289054E-4</v>
          </cell>
          <cell r="I618">
            <v>3.4773582017570329E-4</v>
          </cell>
        </row>
        <row r="619">
          <cell r="A619" t="str">
            <v>ITOT-SWHCONBR6</v>
          </cell>
          <cell r="B619" t="str">
            <v>VAR_fin</v>
          </cell>
          <cell r="C619" t="str">
            <v>CON</v>
          </cell>
          <cell r="H619">
            <v>4.4721067168289054E-4</v>
          </cell>
          <cell r="I619">
            <v>3.4773582017570329E-4</v>
          </cell>
        </row>
        <row r="620">
          <cell r="A620" t="str">
            <v>ITOT-SWHCONBR6</v>
          </cell>
          <cell r="B620" t="str">
            <v>VAR_ncap</v>
          </cell>
          <cell r="C620" t="str">
            <v>-</v>
          </cell>
          <cell r="H620">
            <v>2.1604099603238701E-5</v>
          </cell>
          <cell r="I620">
            <v>1.32620272528327E-6</v>
          </cell>
        </row>
        <row r="621">
          <cell r="A621" t="str">
            <v>ITOT-SWHCONBR6</v>
          </cell>
          <cell r="B621" t="str">
            <v>VAR_cap</v>
          </cell>
          <cell r="C621" t="str">
            <v>-</v>
          </cell>
          <cell r="H621">
            <v>2.1604099603238701E-5</v>
          </cell>
          <cell r="I621">
            <v>1.7005022060504001E-5</v>
          </cell>
        </row>
        <row r="622">
          <cell r="A622" t="str">
            <v>RHNM-SHNGAHP</v>
          </cell>
          <cell r="B622" t="str">
            <v>VAR_fout</v>
          </cell>
          <cell r="C622" t="str">
            <v>CO2_R</v>
          </cell>
          <cell r="F622">
            <v>6.7084106879862997</v>
          </cell>
          <cell r="G622">
            <v>19.684694239584999</v>
          </cell>
          <cell r="H622">
            <v>36.364758886204598</v>
          </cell>
          <cell r="I622">
            <v>49.210180868035302</v>
          </cell>
        </row>
        <row r="623">
          <cell r="A623" t="str">
            <v>RHNM-SHNGAHP</v>
          </cell>
          <cell r="B623" t="str">
            <v>VAR_fout</v>
          </cell>
          <cell r="C623" t="str">
            <v>RHNM-SHANGAH</v>
          </cell>
          <cell r="F623">
            <v>0.23068733221506033</v>
          </cell>
          <cell r="G623">
            <v>0.68729707815390528</v>
          </cell>
          <cell r="H623">
            <v>1.2912019927108704</v>
          </cell>
          <cell r="I623">
            <v>1.7617733492668837</v>
          </cell>
        </row>
        <row r="624">
          <cell r="A624" t="str">
            <v>RHNM-SHNGAHP</v>
          </cell>
          <cell r="B624" t="str">
            <v>VAR_fin</v>
          </cell>
          <cell r="C624" t="str">
            <v>RNGA</v>
          </cell>
          <cell r="F624">
            <v>0.11894345191465067</v>
          </cell>
          <cell r="G624">
            <v>0.34901940141108151</v>
          </cell>
          <cell r="H624">
            <v>0.64476522847880546</v>
          </cell>
          <cell r="I624">
            <v>0.87252093737651215</v>
          </cell>
        </row>
        <row r="625">
          <cell r="A625" t="str">
            <v>RHNM-SHNGAHP</v>
          </cell>
          <cell r="B625" t="str">
            <v>VAR_fin</v>
          </cell>
          <cell r="C625" t="str">
            <v>RHNMELCHPC</v>
          </cell>
          <cell r="F625">
            <v>0.23068733221506033</v>
          </cell>
          <cell r="G625">
            <v>0.68729707815390528</v>
          </cell>
          <cell r="H625">
            <v>1.2912019927108704</v>
          </cell>
          <cell r="I625">
            <v>1.7617733492668837</v>
          </cell>
        </row>
        <row r="626">
          <cell r="A626" t="str">
            <v>RHNM-SHNGAHP</v>
          </cell>
          <cell r="B626" t="str">
            <v>VAR_ncap</v>
          </cell>
          <cell r="C626" t="str">
            <v>-</v>
          </cell>
          <cell r="E626">
            <v>7.0602092075266201E-7</v>
          </cell>
          <cell r="F626">
            <v>1.7945613053310501E-2</v>
          </cell>
          <cell r="G626">
            <v>3.5420145675608597E-2</v>
          </cell>
          <cell r="H626">
            <v>4.6389055815855E-2</v>
          </cell>
          <cell r="I626">
            <v>9.1892433316229399E-2</v>
          </cell>
        </row>
        <row r="627">
          <cell r="A627" t="str">
            <v>RHNM-SHNGAHP</v>
          </cell>
          <cell r="B627" t="str">
            <v>VAR_cap</v>
          </cell>
          <cell r="C627" t="str">
            <v>-</v>
          </cell>
          <cell r="E627">
            <v>7.0602092075266201E-7</v>
          </cell>
          <cell r="F627">
            <v>1.7946170771278639E-2</v>
          </cell>
          <cell r="G627">
            <v>5.3366227880155534E-2</v>
          </cell>
          <cell r="H627">
            <v>0.10025439915088324</v>
          </cell>
          <cell r="I627">
            <v>0.13676589971185593</v>
          </cell>
        </row>
        <row r="628">
          <cell r="A628" t="str">
            <v>D-SCOM_KEV_WOD_ELC_CHP</v>
          </cell>
          <cell r="B628" t="str">
            <v>VAR_fout</v>
          </cell>
          <cell r="C628" t="str">
            <v>ELC5</v>
          </cell>
          <cell r="G628">
            <v>6.4489038060324506E-4</v>
          </cell>
          <cell r="H628">
            <v>5.0305602195414888E-4</v>
          </cell>
          <cell r="I628">
            <v>1.9112673913287669E-4</v>
          </cell>
        </row>
        <row r="629">
          <cell r="A629" t="str">
            <v>D-SCOM_KEV_WOD_ELC_CHP</v>
          </cell>
          <cell r="B629" t="str">
            <v>VAR_fout</v>
          </cell>
          <cell r="C629" t="str">
            <v>SCOM_ELC</v>
          </cell>
          <cell r="G629">
            <v>2.1030466452519569E-4</v>
          </cell>
          <cell r="H629">
            <v>5.029542193901379E-4</v>
          </cell>
          <cell r="I629">
            <v>1.9079641338789932E-4</v>
          </cell>
        </row>
        <row r="630">
          <cell r="A630" t="str">
            <v>D-SCOM_KEV_WOD_ELC_CHP</v>
          </cell>
          <cell r="B630" t="str">
            <v>VAR_fin</v>
          </cell>
          <cell r="C630" t="str">
            <v>SCOM_KEV_WOD_ELC_CHP</v>
          </cell>
          <cell r="G630">
            <v>8.3583743729409067E-4</v>
          </cell>
          <cell r="H630">
            <v>9.741262541709746E-4</v>
          </cell>
          <cell r="I630">
            <v>3.5623737516798194E-4</v>
          </cell>
        </row>
        <row r="631">
          <cell r="A631" t="str">
            <v>RHES-SHCONBR5</v>
          </cell>
          <cell r="B631" t="str">
            <v>VAR_fout</v>
          </cell>
          <cell r="C631" t="str">
            <v>RHES-SHCON</v>
          </cell>
          <cell r="E631">
            <v>9.9387692517211934E-4</v>
          </cell>
          <cell r="F631">
            <v>5.4350000580280543E-4</v>
          </cell>
          <cell r="G631">
            <v>7.934293742538985E-4</v>
          </cell>
          <cell r="H631">
            <v>9.6445298491127296E-4</v>
          </cell>
          <cell r="I631">
            <v>5.7205512032163105E-4</v>
          </cell>
        </row>
        <row r="632">
          <cell r="A632" t="str">
            <v>RHES-SHCONBR5</v>
          </cell>
          <cell r="B632" t="str">
            <v>VAR_fin</v>
          </cell>
          <cell r="C632" t="str">
            <v>CON</v>
          </cell>
          <cell r="E632">
            <v>9.9387692517211934E-4</v>
          </cell>
          <cell r="F632">
            <v>5.4350000580280543E-4</v>
          </cell>
          <cell r="G632">
            <v>7.934293742538985E-4</v>
          </cell>
          <cell r="H632">
            <v>9.6445298491127296E-4</v>
          </cell>
          <cell r="I632">
            <v>5.7205512032163105E-4</v>
          </cell>
        </row>
        <row r="633">
          <cell r="A633" t="str">
            <v>RHES-SHCONBR5</v>
          </cell>
          <cell r="B633" t="str">
            <v>VAR_ncap</v>
          </cell>
          <cell r="C633" t="str">
            <v>-</v>
          </cell>
          <cell r="E633">
            <v>7.4240797669423305E-5</v>
          </cell>
          <cell r="F633">
            <v>1.7743366713797199E-8</v>
          </cell>
          <cell r="G633">
            <v>2.2049873192993901E-8</v>
          </cell>
          <cell r="H633">
            <v>2.6023035098428599E-8</v>
          </cell>
          <cell r="I633">
            <v>3.9938818254283003E-8</v>
          </cell>
        </row>
        <row r="634">
          <cell r="A634" t="str">
            <v>RHES-SHCONBR5</v>
          </cell>
          <cell r="B634" t="str">
            <v>VAR_cap</v>
          </cell>
          <cell r="C634" t="str">
            <v>-</v>
          </cell>
          <cell r="E634">
            <v>7.4240797669423305E-5</v>
          </cell>
          <cell r="F634">
            <v>7.4098904205212868E-5</v>
          </cell>
          <cell r="G634">
            <v>7.410116943434912E-5</v>
          </cell>
          <cell r="H634">
            <v>7.4187152850680043E-5</v>
          </cell>
          <cell r="I634">
            <v>4.2958406250599815E-5</v>
          </cell>
        </row>
        <row r="635">
          <cell r="A635" t="str">
            <v>RHNS-SHCONBR</v>
          </cell>
          <cell r="B635" t="str">
            <v>VAR_fout</v>
          </cell>
          <cell r="C635" t="str">
            <v>RHNS-SHCON</v>
          </cell>
          <cell r="F635">
            <v>1.1144906535258681E-3</v>
          </cell>
          <cell r="G635">
            <v>1.076545984142353E-3</v>
          </cell>
          <cell r="H635">
            <v>5.2342290249963938E-3</v>
          </cell>
          <cell r="I635">
            <v>6.872261922614252E-2</v>
          </cell>
        </row>
        <row r="636">
          <cell r="A636" t="str">
            <v>RHNS-SHCONBR</v>
          </cell>
          <cell r="B636" t="str">
            <v>VAR_fin</v>
          </cell>
          <cell r="C636" t="str">
            <v>CON</v>
          </cell>
          <cell r="F636">
            <v>1.1144906535258681E-3</v>
          </cell>
          <cell r="G636">
            <v>1.076545984142353E-3</v>
          </cell>
          <cell r="H636">
            <v>5.2342290249963938E-3</v>
          </cell>
          <cell r="I636">
            <v>6.872261922614252E-2</v>
          </cell>
        </row>
        <row r="637">
          <cell r="A637" t="str">
            <v>RHNS-SHCONBR</v>
          </cell>
          <cell r="B637" t="str">
            <v>VAR_ncap</v>
          </cell>
          <cell r="C637" t="str">
            <v>-</v>
          </cell>
          <cell r="E637">
            <v>3.7892873996141699E-8</v>
          </cell>
          <cell r="F637">
            <v>7.3111181477567699E-5</v>
          </cell>
          <cell r="G637">
            <v>9.0419274667657599E-8</v>
          </cell>
          <cell r="H637">
            <v>2.7781396860637601E-4</v>
          </cell>
          <cell r="I637">
            <v>4.6218423439716404E-3</v>
          </cell>
        </row>
        <row r="638">
          <cell r="A638" t="str">
            <v>RHNS-SHCONBR</v>
          </cell>
          <cell r="B638" t="str">
            <v>VAR_cap</v>
          </cell>
          <cell r="C638" t="str">
            <v>-</v>
          </cell>
          <cell r="E638">
            <v>3.7892873996141699E-8</v>
          </cell>
          <cell r="F638">
            <v>7.3125833436690364E-5</v>
          </cell>
          <cell r="G638">
            <v>7.3196159346148766E-5</v>
          </cell>
          <cell r="H638">
            <v>3.7500616940527008E-4</v>
          </cell>
          <cell r="I638">
            <v>4.9969515850466998E-3</v>
          </cell>
        </row>
        <row r="639">
          <cell r="A639" t="str">
            <v>D-RHEM_SOLELC</v>
          </cell>
          <cell r="B639" t="str">
            <v>VAR_fout</v>
          </cell>
          <cell r="C639" t="str">
            <v>ELC5</v>
          </cell>
          <cell r="D639">
            <v>0.17436085888402714</v>
          </cell>
          <cell r="E639">
            <v>0.66879568858754745</v>
          </cell>
          <cell r="F639">
            <v>0.92839086474712196</v>
          </cell>
          <cell r="G639">
            <v>1.0215278508209487</v>
          </cell>
          <cell r="H639">
            <v>1.0988377577789905</v>
          </cell>
          <cell r="I639">
            <v>1.1536699919872107</v>
          </cell>
        </row>
        <row r="640">
          <cell r="A640" t="str">
            <v>D-RHEM_SOLELC</v>
          </cell>
          <cell r="B640" t="str">
            <v>VAR_fout</v>
          </cell>
          <cell r="C640" t="str">
            <v>RHEM_ELC</v>
          </cell>
          <cell r="D640">
            <v>0.68812236690182105</v>
          </cell>
          <cell r="E640">
            <v>0.61878955864358076</v>
          </cell>
          <cell r="F640">
            <v>0.81740760266095847</v>
          </cell>
          <cell r="G640">
            <v>0.898320843622048</v>
          </cell>
          <cell r="H640">
            <v>1.0043438365882016</v>
          </cell>
          <cell r="I640">
            <v>1.086465491926633</v>
          </cell>
        </row>
        <row r="641">
          <cell r="A641" t="str">
            <v>D-RHEM_SOLELC</v>
          </cell>
          <cell r="B641" t="str">
            <v>VAR_fin</v>
          </cell>
          <cell r="C641" t="str">
            <v>RHEM_SOL_ELC</v>
          </cell>
          <cell r="D641">
            <v>0.86248322578584768</v>
          </cell>
          <cell r="E641">
            <v>1.2875826917616653</v>
          </cell>
          <cell r="F641">
            <v>1.7457984674080802</v>
          </cell>
          <cell r="G641">
            <v>1.9198486944429967</v>
          </cell>
          <cell r="H641">
            <v>2.1031815943671921</v>
          </cell>
          <cell r="I641">
            <v>2.2401354839138432</v>
          </cell>
        </row>
        <row r="642">
          <cell r="A642" t="str">
            <v>ITOT-SWHCONBR7</v>
          </cell>
          <cell r="B642" t="str">
            <v>VAR_fout</v>
          </cell>
          <cell r="C642" t="str">
            <v>ITOT-ELS</v>
          </cell>
          <cell r="H642">
            <v>6.4950302430557248E-4</v>
          </cell>
          <cell r="I642">
            <v>1.3016775069531088E-3</v>
          </cell>
        </row>
        <row r="643">
          <cell r="A643" t="str">
            <v>ITOT-SWHCONBR7</v>
          </cell>
          <cell r="B643" t="str">
            <v>VAR_fout</v>
          </cell>
          <cell r="C643" t="str">
            <v>ITOT-SWHC</v>
          </cell>
          <cell r="H643">
            <v>1.1325881178078851E-4</v>
          </cell>
          <cell r="I643">
            <v>2.2698346619234259E-4</v>
          </cell>
        </row>
        <row r="644">
          <cell r="A644" t="str">
            <v>ITOT-SWHCONBR7</v>
          </cell>
          <cell r="B644" t="str">
            <v>VAR_fin</v>
          </cell>
          <cell r="C644" t="str">
            <v>CON</v>
          </cell>
          <cell r="H644">
            <v>7.6276183608635991E-4</v>
          </cell>
          <cell r="I644">
            <v>1.5286609731454516E-3</v>
          </cell>
        </row>
        <row r="645">
          <cell r="A645" t="str">
            <v>ITOT-SWHCONBR7</v>
          </cell>
          <cell r="B645" t="str">
            <v>VAR_ncap</v>
          </cell>
          <cell r="C645" t="str">
            <v>-</v>
          </cell>
          <cell r="H645">
            <v>3.9798985714891703E-5</v>
          </cell>
          <cell r="I645">
            <v>5.3379264834109698E-5</v>
          </cell>
        </row>
        <row r="646">
          <cell r="A646" t="str">
            <v>ITOT-SWHCONBR7</v>
          </cell>
          <cell r="B646" t="str">
            <v>VAR_cap</v>
          </cell>
          <cell r="C646" t="str">
            <v>-</v>
          </cell>
          <cell r="H646">
            <v>3.9798985714891703E-5</v>
          </cell>
          <cell r="I646">
            <v>8.2262722983658001E-5</v>
          </cell>
        </row>
        <row r="647">
          <cell r="A647" t="str">
            <v>RHNS-SHSTG-ELCHP</v>
          </cell>
          <cell r="B647" t="str">
            <v>VAR_fout</v>
          </cell>
          <cell r="C647" t="str">
            <v>RHNS-SHAELCH</v>
          </cell>
          <cell r="E647">
            <v>9.6753276481489139E-3</v>
          </cell>
          <cell r="F647">
            <v>0.14781613970186577</v>
          </cell>
          <cell r="G647">
            <v>0.30826953296464787</v>
          </cell>
          <cell r="H647">
            <v>0.44925362014393305</v>
          </cell>
          <cell r="I647">
            <v>0.50487352537921137</v>
          </cell>
        </row>
        <row r="648">
          <cell r="A648" t="str">
            <v>RHNS-SHSTG-ELCHP</v>
          </cell>
          <cell r="B648" t="str">
            <v>VAR_fin</v>
          </cell>
          <cell r="C648" t="str">
            <v>RHNS-SHAELCH</v>
          </cell>
          <cell r="E648">
            <v>9.6906313974941243E-3</v>
          </cell>
          <cell r="F648">
            <v>0.14782414560689749</v>
          </cell>
          <cell r="G648">
            <v>0.3082891211346151</v>
          </cell>
          <cell r="H648">
            <v>0.44929227782980297</v>
          </cell>
          <cell r="I648">
            <v>0.50491679194748551</v>
          </cell>
        </row>
        <row r="649">
          <cell r="A649" t="str">
            <v>RHNS-SHSTG-ELCHP</v>
          </cell>
          <cell r="B649" t="str">
            <v>VAR_ncap</v>
          </cell>
          <cell r="C649" t="str">
            <v>-</v>
          </cell>
          <cell r="D649">
            <v>2.4973118878079499E-5</v>
          </cell>
          <cell r="E649">
            <v>1.1449572010497401E-3</v>
          </cell>
          <cell r="F649">
            <v>1.29551243534813E-2</v>
          </cell>
          <cell r="G649">
            <v>1.14913301924713E-2</v>
          </cell>
          <cell r="H649">
            <v>2.0306332618077901E-2</v>
          </cell>
          <cell r="I649">
            <v>2.7500611135911599E-2</v>
          </cell>
        </row>
        <row r="650">
          <cell r="A650" t="str">
            <v>RHNS-SHSTG-ELCHP</v>
          </cell>
          <cell r="B650" t="str">
            <v>VAR_cap</v>
          </cell>
          <cell r="C650" t="str">
            <v>-</v>
          </cell>
          <cell r="D650">
            <v>2.4973118878079499E-5</v>
          </cell>
          <cell r="E650">
            <v>1.1609278022734588E-3</v>
          </cell>
          <cell r="F650">
            <v>1.410660585375857E-2</v>
          </cell>
          <cell r="G650">
            <v>2.5592086336189E-2</v>
          </cell>
          <cell r="H650">
            <v>3.7690227423793111E-2</v>
          </cell>
          <cell r="I650">
            <v>4.529000923443522E-2</v>
          </cell>
        </row>
        <row r="651">
          <cell r="A651" t="str">
            <v>RHNS-SHSOLBR</v>
          </cell>
          <cell r="B651" t="str">
            <v>VAR_fout</v>
          </cell>
          <cell r="C651" t="str">
            <v>RHNS-SHASOL</v>
          </cell>
          <cell r="E651">
            <v>1.3412437945598986E-2</v>
          </cell>
          <cell r="F651">
            <v>1.2149650006275652E-4</v>
          </cell>
          <cell r="G651">
            <v>2.3227692447197216E-4</v>
          </cell>
          <cell r="H651">
            <v>3.7715878723923593E-4</v>
          </cell>
          <cell r="I651">
            <v>7.3410837823161869E-4</v>
          </cell>
        </row>
        <row r="652">
          <cell r="A652" t="str">
            <v>RHNS-SHSOLBR</v>
          </cell>
          <cell r="B652" t="str">
            <v>VAR_fin</v>
          </cell>
          <cell r="C652" t="str">
            <v>SOL</v>
          </cell>
          <cell r="E652">
            <v>1.3412437945598986E-2</v>
          </cell>
          <cell r="F652">
            <v>1.2149650006275652E-4</v>
          </cell>
          <cell r="G652">
            <v>2.3227692447197216E-4</v>
          </cell>
          <cell r="H652">
            <v>3.7715878723923593E-4</v>
          </cell>
          <cell r="I652">
            <v>7.3410837823161869E-4</v>
          </cell>
        </row>
        <row r="653">
          <cell r="A653" t="str">
            <v>RHNS-SHSOLBR</v>
          </cell>
          <cell r="B653" t="str">
            <v>VAR_ncap</v>
          </cell>
          <cell r="C653" t="str">
            <v>-</v>
          </cell>
          <cell r="E653">
            <v>2.1622246098818901E-3</v>
          </cell>
          <cell r="F653">
            <v>4.1815174355730004E-6</v>
          </cell>
          <cell r="G653">
            <v>6.9880336411383097E-6</v>
          </cell>
          <cell r="H653">
            <v>7.8843769350612206E-5</v>
          </cell>
          <cell r="I653">
            <v>9.11259118699473E-5</v>
          </cell>
        </row>
        <row r="654">
          <cell r="A654" t="str">
            <v>RHNS-SHSOLBR</v>
          </cell>
          <cell r="B654" t="str">
            <v>VAR_cap</v>
          </cell>
          <cell r="C654" t="str">
            <v>-</v>
          </cell>
          <cell r="E654">
            <v>2.1622246098818901E-3</v>
          </cell>
          <cell r="F654">
            <v>9.8807706300144994E-4</v>
          </cell>
          <cell r="G654">
            <v>9.1465091454959006E-4</v>
          </cell>
          <cell r="H654">
            <v>1.4195178446662512E-4</v>
          </cell>
          <cell r="I654">
            <v>1.7267510161189244E-4</v>
          </cell>
        </row>
        <row r="655">
          <cell r="A655" t="str">
            <v>RHES-SHPLTBR</v>
          </cell>
          <cell r="B655" t="str">
            <v>VAR_fout</v>
          </cell>
          <cell r="C655" t="str">
            <v>RHES-SHPLT</v>
          </cell>
          <cell r="D655">
            <v>1.2957727267084862</v>
          </cell>
          <cell r="E655">
            <v>1.4868872958411272</v>
          </cell>
          <cell r="F655">
            <v>4.5896484800203918E-2</v>
          </cell>
          <cell r="G655">
            <v>7.3896843357208281E-2</v>
          </cell>
          <cell r="H655">
            <v>0.10593158411549757</v>
          </cell>
          <cell r="I655">
            <v>0.13041759594364416</v>
          </cell>
        </row>
        <row r="656">
          <cell r="A656" t="str">
            <v>RHES-SHPLTBR</v>
          </cell>
          <cell r="B656" t="str">
            <v>VAR_fin</v>
          </cell>
          <cell r="C656" t="str">
            <v>RPLT</v>
          </cell>
          <cell r="D656">
            <v>1.4397474741205405</v>
          </cell>
          <cell r="E656">
            <v>1.6520969953790299</v>
          </cell>
          <cell r="F656">
            <v>6.2675323996519663E-2</v>
          </cell>
          <cell r="G656">
            <v>9.9823485594577419E-2</v>
          </cell>
          <cell r="H656">
            <v>0.14181469556250598</v>
          </cell>
          <cell r="I656">
            <v>0.17355376622611099</v>
          </cell>
        </row>
        <row r="657">
          <cell r="A657" t="str">
            <v>RHES-SHPLTBR</v>
          </cell>
          <cell r="B657" t="str">
            <v>VAR_ncap</v>
          </cell>
          <cell r="C657" t="str">
            <v>-</v>
          </cell>
          <cell r="E657">
            <v>1.5445529826746501E-2</v>
          </cell>
          <cell r="F657">
            <v>4.6349043334124598E-8</v>
          </cell>
          <cell r="G657">
            <v>5.7288947354977995E-7</v>
          </cell>
          <cell r="H657">
            <v>5.3389137230876798E-3</v>
          </cell>
          <cell r="I657">
            <v>5.3017048041757503E-3</v>
          </cell>
        </row>
        <row r="658">
          <cell r="A658" t="str">
            <v>RHES-SHPLTBR</v>
          </cell>
          <cell r="B658" t="str">
            <v>VAR_cap</v>
          </cell>
          <cell r="C658" t="str">
            <v>-</v>
          </cell>
          <cell r="D658">
            <v>0.104681131456585</v>
          </cell>
          <cell r="E658">
            <v>0.1201266312438375</v>
          </cell>
          <cell r="F658">
            <v>8.1984750999068018E-3</v>
          </cell>
          <cell r="G658">
            <v>8.1992112255653005E-3</v>
          </cell>
          <cell r="H658">
            <v>8.5704763603078743E-3</v>
          </cell>
          <cell r="I658">
            <v>1.054309325171557E-2</v>
          </cell>
        </row>
        <row r="659">
          <cell r="A659" t="str">
            <v>RHES-SHCONBR6</v>
          </cell>
          <cell r="B659" t="str">
            <v>VAR_fout</v>
          </cell>
          <cell r="C659" t="str">
            <v>RHES-SHCON</v>
          </cell>
          <cell r="E659">
            <v>1.6320892840419196E-4</v>
          </cell>
          <cell r="F659">
            <v>1.2845786257746571E-4</v>
          </cell>
          <cell r="G659">
            <v>1.1688467343586811E-4</v>
          </cell>
          <cell r="H659">
            <v>1.6103516612147196E-4</v>
          </cell>
          <cell r="I659">
            <v>1.0465597572416663E-4</v>
          </cell>
        </row>
        <row r="660">
          <cell r="A660" t="str">
            <v>RHES-SHCONBR6</v>
          </cell>
          <cell r="B660" t="str">
            <v>VAR_fin</v>
          </cell>
          <cell r="C660" t="str">
            <v>CON</v>
          </cell>
          <cell r="E660">
            <v>1.6320892840419196E-4</v>
          </cell>
          <cell r="F660">
            <v>1.2845786257746571E-4</v>
          </cell>
          <cell r="G660">
            <v>1.1688467343586811E-4</v>
          </cell>
          <cell r="H660">
            <v>1.6103516612147196E-4</v>
          </cell>
          <cell r="I660">
            <v>1.0465597572416663E-4</v>
          </cell>
        </row>
        <row r="661">
          <cell r="A661" t="str">
            <v>RHES-SHCONBR6</v>
          </cell>
          <cell r="B661" t="str">
            <v>VAR_ncap</v>
          </cell>
          <cell r="C661" t="str">
            <v>-</v>
          </cell>
          <cell r="E661">
            <v>7.1318692656298597E-6</v>
          </cell>
          <cell r="F661">
            <v>1.9711769565902101E-8</v>
          </cell>
          <cell r="G661">
            <v>2.32306229681674E-8</v>
          </cell>
          <cell r="H661">
            <v>2.2111939007705899E-8</v>
          </cell>
          <cell r="I661">
            <v>3.37020184346141E-8</v>
          </cell>
        </row>
        <row r="662">
          <cell r="A662" t="str">
            <v>RHES-SHCONBR6</v>
          </cell>
          <cell r="B662" t="str">
            <v>VAR_cap</v>
          </cell>
          <cell r="C662" t="str">
            <v>-</v>
          </cell>
          <cell r="E662">
            <v>7.1318692656298597E-6</v>
          </cell>
          <cell r="F662">
            <v>7.1022301202712246E-6</v>
          </cell>
          <cell r="G662">
            <v>7.1050009009879699E-6</v>
          </cell>
          <cell r="H662">
            <v>7.1158709645117646E-6</v>
          </cell>
          <cell r="I662">
            <v>4.1909903385625168E-6</v>
          </cell>
        </row>
        <row r="663">
          <cell r="A663" t="str">
            <v>RHSA-WHPLTBR</v>
          </cell>
          <cell r="B663" t="str">
            <v>VAR_fout</v>
          </cell>
          <cell r="C663" t="str">
            <v>RHSA-WHPLT</v>
          </cell>
          <cell r="D663">
            <v>0.16980465114584897</v>
          </cell>
          <cell r="E663">
            <v>0.19484084758943748</v>
          </cell>
          <cell r="F663">
            <v>8.570261102216753E-2</v>
          </cell>
          <cell r="G663">
            <v>0.14585475366336437</v>
          </cell>
          <cell r="H663">
            <v>0.23634130961665778</v>
          </cell>
          <cell r="I663">
            <v>0.32071595325361313</v>
          </cell>
        </row>
        <row r="664">
          <cell r="A664" t="str">
            <v>RHSA-WHPLTBR</v>
          </cell>
          <cell r="B664" t="str">
            <v>VAR_fin</v>
          </cell>
          <cell r="C664" t="str">
            <v>RPLT</v>
          </cell>
          <cell r="D664">
            <v>0.27168744183335841</v>
          </cell>
          <cell r="E664">
            <v>0.31174535614310006</v>
          </cell>
          <cell r="F664">
            <v>0.18789559760649643</v>
          </cell>
          <cell r="G664">
            <v>0.31431674604580639</v>
          </cell>
          <cell r="H664">
            <v>0.49728001462885135</v>
          </cell>
          <cell r="I664">
            <v>0.65889855922452567</v>
          </cell>
        </row>
        <row r="665">
          <cell r="A665" t="str">
            <v>RHSA-WHPLTBR</v>
          </cell>
          <cell r="B665" t="str">
            <v>VAR_ncap</v>
          </cell>
          <cell r="C665" t="str">
            <v>-</v>
          </cell>
          <cell r="E665">
            <v>1.9523805140188701E-3</v>
          </cell>
          <cell r="F665">
            <v>9.4227670110023302E-8</v>
          </cell>
          <cell r="G665">
            <v>1.0556908969827801E-6</v>
          </cell>
          <cell r="H665">
            <v>6.6307438546260302E-3</v>
          </cell>
          <cell r="I665">
            <v>1.30814688338567E-2</v>
          </cell>
        </row>
        <row r="666">
          <cell r="A666" t="str">
            <v>RHSA-WHPLTBR</v>
          </cell>
          <cell r="B666" t="str">
            <v>VAR_cap</v>
          </cell>
          <cell r="C666" t="str">
            <v>-</v>
          </cell>
          <cell r="D666">
            <v>1.12410901121583E-2</v>
          </cell>
          <cell r="E666">
            <v>1.3193415958717316E-2</v>
          </cell>
          <cell r="F666">
            <v>1.2578428082522436E-2</v>
          </cell>
          <cell r="G666">
            <v>1.2578885624698711E-2</v>
          </cell>
          <cell r="H666">
            <v>1.6162921084553371E-2</v>
          </cell>
          <cell r="I666">
            <v>2.1925346041351688E-2</v>
          </cell>
        </row>
        <row r="667">
          <cell r="A667" t="str">
            <v>ITOT-SWHCONBR8</v>
          </cell>
          <cell r="B667" t="str">
            <v>VAR_fout</v>
          </cell>
          <cell r="C667" t="str">
            <v>ITOT-ELS</v>
          </cell>
          <cell r="I667">
            <v>6.5290244381579677E-5</v>
          </cell>
        </row>
        <row r="668">
          <cell r="A668" t="str">
            <v>ITOT-SWHCONBR8</v>
          </cell>
          <cell r="B668" t="str">
            <v>VAR_fout</v>
          </cell>
          <cell r="C668" t="str">
            <v>ITOT-SWHC</v>
          </cell>
          <cell r="I668">
            <v>2.52086987260297E-4</v>
          </cell>
        </row>
        <row r="669">
          <cell r="A669" t="str">
            <v>ITOT-SWHCONBR8</v>
          </cell>
          <cell r="B669" t="str">
            <v>VAR_fin</v>
          </cell>
          <cell r="C669" t="str">
            <v>CON</v>
          </cell>
          <cell r="I669">
            <v>3.1737723164187672E-4</v>
          </cell>
        </row>
        <row r="670">
          <cell r="A670" t="str">
            <v>ITOT-SWHCONBR8</v>
          </cell>
          <cell r="B670" t="str">
            <v>VAR_ncap</v>
          </cell>
          <cell r="C670" t="str">
            <v>-</v>
          </cell>
          <cell r="I670">
            <v>1.51617789626041E-5</v>
          </cell>
        </row>
        <row r="671">
          <cell r="A671" t="str">
            <v>ITOT-SWHCONBR8</v>
          </cell>
          <cell r="B671" t="str">
            <v>VAR_cap</v>
          </cell>
          <cell r="C671" t="str">
            <v>-</v>
          </cell>
          <cell r="I671">
            <v>1.51617789626041E-5</v>
          </cell>
        </row>
        <row r="672">
          <cell r="A672" t="str">
            <v>D-EH2R</v>
          </cell>
          <cell r="B672" t="str">
            <v>VAR_ncap</v>
          </cell>
          <cell r="C672" t="str">
            <v>-</v>
          </cell>
          <cell r="G672">
            <v>3.06439457720153E-7</v>
          </cell>
          <cell r="H672">
            <v>3.4015829366659502E-7</v>
          </cell>
          <cell r="I672">
            <v>2.5561748244061498E-7</v>
          </cell>
        </row>
        <row r="673">
          <cell r="A673" t="str">
            <v>D-EH2R</v>
          </cell>
          <cell r="B673" t="str">
            <v>VAR_cap</v>
          </cell>
          <cell r="C673" t="str">
            <v>-</v>
          </cell>
          <cell r="G673">
            <v>3.06439457720153E-7</v>
          </cell>
          <cell r="H673">
            <v>4.57865926901894E-7</v>
          </cell>
          <cell r="I673">
            <v>3.7212892527772601E-7</v>
          </cell>
        </row>
        <row r="674">
          <cell r="A674" t="str">
            <v>SCOM-ELCSPECADV</v>
          </cell>
          <cell r="B674" t="str">
            <v>VAR_ncap</v>
          </cell>
          <cell r="C674" t="str">
            <v>-</v>
          </cell>
          <cell r="F674">
            <v>5.3979830931520298E-8</v>
          </cell>
          <cell r="G674">
            <v>7.9767138715399302E-8</v>
          </cell>
          <cell r="H674">
            <v>1.02625983717578E-7</v>
          </cell>
          <cell r="I674">
            <v>6.8354798087005399E-8</v>
          </cell>
        </row>
        <row r="675">
          <cell r="A675" t="str">
            <v>SCOM-ELCSPECADV</v>
          </cell>
          <cell r="B675" t="str">
            <v>VAR_cap</v>
          </cell>
          <cell r="C675" t="str">
            <v>-</v>
          </cell>
          <cell r="F675">
            <v>5.3979830931520298E-8</v>
          </cell>
          <cell r="G675">
            <v>7.5186579331545694E-8</v>
          </cell>
          <cell r="H675">
            <v>-1.4101392764577963E-8</v>
          </cell>
          <cell r="I675">
            <v>-8.2885649213331987E-8</v>
          </cell>
        </row>
        <row r="676">
          <cell r="A676" t="str">
            <v>RHSA-WHLTHRD</v>
          </cell>
          <cell r="B676" t="str">
            <v>VAR_fout</v>
          </cell>
          <cell r="C676" t="str">
            <v>RHSA-WHLTHRD</v>
          </cell>
          <cell r="D676">
            <v>1.3170648198061448</v>
          </cell>
          <cell r="E676">
            <v>1.463378295292856</v>
          </cell>
          <cell r="F676">
            <v>0.95041589857102182</v>
          </cell>
          <cell r="G676">
            <v>1.1686681663559957</v>
          </cell>
          <cell r="H676">
            <v>1.4374908791123053</v>
          </cell>
          <cell r="I676">
            <v>1.668810581625753</v>
          </cell>
        </row>
        <row r="677">
          <cell r="A677" t="str">
            <v>RHSA-WHLTHRD</v>
          </cell>
          <cell r="B677" t="str">
            <v>VAR_fin</v>
          </cell>
          <cell r="C677" t="str">
            <v>RHSA_LTH</v>
          </cell>
          <cell r="D677">
            <v>1.7104737919560322</v>
          </cell>
          <cell r="E677">
            <v>1.8955677400166515</v>
          </cell>
          <cell r="F677">
            <v>1.7549937287164601</v>
          </cell>
          <cell r="G677">
            <v>2.104875611164077</v>
          </cell>
          <cell r="H677">
            <v>2.5143895791295776</v>
          </cell>
          <cell r="I677">
            <v>2.836210301319035</v>
          </cell>
        </row>
        <row r="678">
          <cell r="A678" t="str">
            <v>RHSA-WHLTHRD</v>
          </cell>
          <cell r="B678" t="str">
            <v>VAR_ncap</v>
          </cell>
          <cell r="C678" t="str">
            <v>-</v>
          </cell>
          <cell r="E678">
            <v>3.2369614904237599E-2</v>
          </cell>
          <cell r="F678">
            <v>2.43396113312296E-2</v>
          </cell>
          <cell r="G678">
            <v>2.6595503231201599E-2</v>
          </cell>
          <cell r="H678">
            <v>4.1343162830320197E-2</v>
          </cell>
          <cell r="I678">
            <v>6.2463430408107E-2</v>
          </cell>
        </row>
        <row r="679">
          <cell r="A679" t="str">
            <v>RHSA-WHLTHRD</v>
          </cell>
          <cell r="B679" t="str">
            <v>VAR_cap</v>
          </cell>
          <cell r="C679" t="str">
            <v>-</v>
          </cell>
          <cell r="D679">
            <v>0.13737412127568699</v>
          </cell>
          <cell r="E679">
            <v>0.15115068935076859</v>
          </cell>
          <cell r="F679">
            <v>0.10785526662027399</v>
          </cell>
          <cell r="G679">
            <v>0.11058041730502677</v>
          </cell>
          <cell r="H679">
            <v>0.14406851529260298</v>
          </cell>
          <cell r="I679">
            <v>0.17352458279501096</v>
          </cell>
        </row>
        <row r="680">
          <cell r="A680" t="str">
            <v>RHES-SHCONBR7</v>
          </cell>
          <cell r="B680" t="str">
            <v>VAR_fout</v>
          </cell>
          <cell r="C680" t="str">
            <v>RHES-SHCON</v>
          </cell>
          <cell r="E680">
            <v>1.5303162349060908E-4</v>
          </cell>
          <cell r="F680">
            <v>1.2344861252376192E-4</v>
          </cell>
          <cell r="G680">
            <v>1.1021550240864237E-4</v>
          </cell>
          <cell r="H680">
            <v>1.5112669056241212E-4</v>
          </cell>
          <cell r="I680">
            <v>9.8874859223544692E-5</v>
          </cell>
        </row>
        <row r="681">
          <cell r="A681" t="str">
            <v>RHES-SHCONBR7</v>
          </cell>
          <cell r="B681" t="str">
            <v>VAR_fin</v>
          </cell>
          <cell r="C681" t="str">
            <v>CON</v>
          </cell>
          <cell r="E681">
            <v>1.5303162349060908E-4</v>
          </cell>
          <cell r="F681">
            <v>1.2344861252376192E-4</v>
          </cell>
          <cell r="G681">
            <v>1.1021550240864237E-4</v>
          </cell>
          <cell r="H681">
            <v>1.5112669056241212E-4</v>
          </cell>
          <cell r="I681">
            <v>9.8874859223544692E-5</v>
          </cell>
        </row>
        <row r="682">
          <cell r="A682" t="str">
            <v>RHES-SHCONBR7</v>
          </cell>
          <cell r="B682" t="str">
            <v>VAR_ncap</v>
          </cell>
          <cell r="C682" t="str">
            <v>-</v>
          </cell>
          <cell r="E682">
            <v>6.3096070850923104E-6</v>
          </cell>
          <cell r="F682">
            <v>1.9823590731960601E-8</v>
          </cell>
          <cell r="G682">
            <v>2.33789738250852E-8</v>
          </cell>
          <cell r="H682">
            <v>2.1970304750500101E-8</v>
          </cell>
          <cell r="I682">
            <v>3.3385059043593702E-8</v>
          </cell>
        </row>
        <row r="683">
          <cell r="A683" t="str">
            <v>RHES-SHCONBR7</v>
          </cell>
          <cell r="B683" t="str">
            <v>VAR_cap</v>
          </cell>
          <cell r="C683" t="str">
            <v>-</v>
          </cell>
          <cell r="E683">
            <v>6.3096070850923104E-6</v>
          </cell>
          <cell r="F683">
            <v>6.2818289727301612E-6</v>
          </cell>
          <cell r="G683">
            <v>6.2855151326578461E-6</v>
          </cell>
          <cell r="H683">
            <v>6.2954284441790612E-6</v>
          </cell>
          <cell r="I683">
            <v>3.7158608343166593E-6</v>
          </cell>
        </row>
        <row r="684">
          <cell r="A684" t="str">
            <v>ITOT-SWHCONBR9</v>
          </cell>
          <cell r="B684" t="str">
            <v>VAR_fout</v>
          </cell>
          <cell r="C684" t="str">
            <v>ITOT-ELS</v>
          </cell>
          <cell r="I684">
            <v>1.1686621156847564E-5</v>
          </cell>
        </row>
        <row r="685">
          <cell r="A685" t="str">
            <v>ITOT-SWHCONBR9</v>
          </cell>
          <cell r="B685" t="str">
            <v>VAR_fout</v>
          </cell>
          <cell r="C685" t="str">
            <v>ITOT-SWHC</v>
          </cell>
          <cell r="I685">
            <v>6.7829079518540045E-5</v>
          </cell>
        </row>
        <row r="686">
          <cell r="A686" t="str">
            <v>ITOT-SWHCONBR9</v>
          </cell>
          <cell r="B686" t="str">
            <v>VAR_fin</v>
          </cell>
          <cell r="C686" t="str">
            <v>CON</v>
          </cell>
          <cell r="I686">
            <v>7.9515700675387611E-5</v>
          </cell>
        </row>
        <row r="687">
          <cell r="A687" t="str">
            <v>ITOT-SWHCONBR9</v>
          </cell>
          <cell r="B687" t="str">
            <v>VAR_ncap</v>
          </cell>
          <cell r="C687" t="str">
            <v>-</v>
          </cell>
          <cell r="I687">
            <v>2.2161653629344001E-6</v>
          </cell>
        </row>
        <row r="688">
          <cell r="A688" t="str">
            <v>ITOT-SWHCONBR9</v>
          </cell>
          <cell r="B688" t="str">
            <v>VAR_cap</v>
          </cell>
          <cell r="C688" t="str">
            <v>-</v>
          </cell>
          <cell r="I688">
            <v>2.2161653629344001E-6</v>
          </cell>
        </row>
        <row r="689">
          <cell r="A689" t="str">
            <v>SCOM-SHPLTBR</v>
          </cell>
          <cell r="B689" t="str">
            <v>VAR_fout</v>
          </cell>
          <cell r="C689" t="str">
            <v>SCOM-SHPLT</v>
          </cell>
          <cell r="D689">
            <v>1.8770767063479703</v>
          </cell>
          <cell r="E689">
            <v>2.1600868027380549</v>
          </cell>
          <cell r="F689">
            <v>0.44757659949395701</v>
          </cell>
          <cell r="G689">
            <v>0.75648915469038847</v>
          </cell>
          <cell r="H689">
            <v>1.0745662303424859</v>
          </cell>
          <cell r="I689">
            <v>1.3133791263197232</v>
          </cell>
        </row>
        <row r="690">
          <cell r="A690" t="str">
            <v>SCOM-SHPLTBR</v>
          </cell>
          <cell r="B690" t="str">
            <v>VAR_fin</v>
          </cell>
          <cell r="C690" t="str">
            <v>SCOMPLTBRC</v>
          </cell>
          <cell r="D690">
            <v>1.8770767063479703</v>
          </cell>
          <cell r="E690">
            <v>2.1600868027380549</v>
          </cell>
          <cell r="F690">
            <v>0.44757659949395701</v>
          </cell>
          <cell r="G690">
            <v>0.75648915469038847</v>
          </cell>
          <cell r="H690">
            <v>1.0745662303424859</v>
          </cell>
          <cell r="I690">
            <v>1.3133791263197232</v>
          </cell>
        </row>
        <row r="691">
          <cell r="A691" t="str">
            <v>SCOM-SHPLTBR</v>
          </cell>
          <cell r="B691" t="str">
            <v>VAR_fin</v>
          </cell>
          <cell r="C691" t="str">
            <v>SPLT</v>
          </cell>
          <cell r="D691">
            <v>2.0856407848310794</v>
          </cell>
          <cell r="E691">
            <v>2.4000964474867272</v>
          </cell>
          <cell r="F691">
            <v>0.66994324270988914</v>
          </cell>
          <cell r="G691">
            <v>1.1252682394587061</v>
          </cell>
          <cell r="H691">
            <v>1.5979276510928426</v>
          </cell>
          <cell r="I691">
            <v>1.9530530208878361</v>
          </cell>
        </row>
        <row r="692">
          <cell r="A692" t="str">
            <v>SCOM-SHPLTBR</v>
          </cell>
          <cell r="B692" t="str">
            <v>VAR_ncap</v>
          </cell>
          <cell r="C692" t="str">
            <v>-</v>
          </cell>
          <cell r="D692">
            <v>9.3910667435390995E-7</v>
          </cell>
          <cell r="E692">
            <v>2.4360834779882899E-2</v>
          </cell>
          <cell r="F692">
            <v>2.1114840060988699E-7</v>
          </cell>
          <cell r="G692">
            <v>2.1174399783962799E-6</v>
          </cell>
          <cell r="H692">
            <v>3.88376922853668E-2</v>
          </cell>
          <cell r="I692">
            <v>6.0403028686041998E-2</v>
          </cell>
        </row>
        <row r="693">
          <cell r="A693" t="str">
            <v>SCOM-SHPLTBR</v>
          </cell>
          <cell r="B693" t="str">
            <v>VAR_cap</v>
          </cell>
          <cell r="C693" t="str">
            <v>-</v>
          </cell>
          <cell r="D693">
            <v>0.15051180723086835</v>
          </cell>
          <cell r="E693">
            <v>0.17487253643977568</v>
          </cell>
          <cell r="F693">
            <v>7.5074739872281415E-2</v>
          </cell>
          <cell r="G693">
            <v>7.5073726039980013E-2</v>
          </cell>
          <cell r="H693">
            <v>8.9799580377844287E-2</v>
          </cell>
          <cell r="I693">
            <v>0.11014471170417427</v>
          </cell>
        </row>
        <row r="694">
          <cell r="A694" t="str">
            <v>ITOT-SWHELCHP</v>
          </cell>
          <cell r="B694" t="str">
            <v>VAR_fout</v>
          </cell>
          <cell r="C694" t="str">
            <v>ITOT-SWHAELCH</v>
          </cell>
          <cell r="D694">
            <v>1.1082100526216789</v>
          </cell>
          <cell r="E694">
            <v>1.4008167347774234</v>
          </cell>
          <cell r="F694">
            <v>1.6863178221078707</v>
          </cell>
          <cell r="G694">
            <v>3.8704590395783587</v>
          </cell>
          <cell r="H694">
            <v>5.8487570140627039</v>
          </cell>
          <cell r="I694">
            <v>5.9016968512518648</v>
          </cell>
        </row>
        <row r="695">
          <cell r="A695" t="str">
            <v>ITOT-SWHELCHP</v>
          </cell>
          <cell r="B695" t="str">
            <v>VAR_fin</v>
          </cell>
          <cell r="C695" t="str">
            <v>ITOT_ELC</v>
          </cell>
          <cell r="D695">
            <v>0.35969398927191076</v>
          </cell>
          <cell r="E695">
            <v>0.4510706262502065</v>
          </cell>
          <cell r="F695">
            <v>0.53663826561789885</v>
          </cell>
          <cell r="G695">
            <v>1.2080964229645912</v>
          </cell>
          <cell r="H695">
            <v>1.7582033951668563</v>
          </cell>
          <cell r="I695">
            <v>1.7109642770030862</v>
          </cell>
        </row>
        <row r="696">
          <cell r="A696" t="str">
            <v>ITOT-SWHELCHP</v>
          </cell>
          <cell r="B696" t="str">
            <v>VAR_fin</v>
          </cell>
          <cell r="C696" t="str">
            <v>ITOTELCHPC</v>
          </cell>
          <cell r="D696">
            <v>1.1082100526216789</v>
          </cell>
          <cell r="E696">
            <v>1.4008167347774234</v>
          </cell>
          <cell r="F696">
            <v>1.6863178221078707</v>
          </cell>
          <cell r="G696">
            <v>3.8704590395783587</v>
          </cell>
          <cell r="H696">
            <v>5.8487570140627039</v>
          </cell>
          <cell r="I696">
            <v>5.9016968512518648</v>
          </cell>
        </row>
        <row r="697">
          <cell r="A697" t="str">
            <v>ITOT-SWHELCHP</v>
          </cell>
          <cell r="B697" t="str">
            <v>VAR_ncap</v>
          </cell>
          <cell r="C697" t="str">
            <v>-</v>
          </cell>
          <cell r="E697">
            <v>1.60444344284092E-2</v>
          </cell>
          <cell r="F697">
            <v>1.54707929330205E-2</v>
          </cell>
          <cell r="G697">
            <v>0.118761599946118</v>
          </cell>
          <cell r="H697">
            <v>7.6537538169797706E-2</v>
          </cell>
          <cell r="I697">
            <v>0.20704215689581601</v>
          </cell>
        </row>
        <row r="698">
          <cell r="A698" t="str">
            <v>ITOT-SWHELCHP</v>
          </cell>
          <cell r="B698" t="str">
            <v>VAR_cap</v>
          </cell>
          <cell r="C698" t="str">
            <v>-</v>
          </cell>
          <cell r="D698">
            <v>6.02631234918991E-2</v>
          </cell>
          <cell r="E698">
            <v>7.6307175391067197E-2</v>
          </cell>
          <cell r="F698">
            <v>9.1777476725499255E-2</v>
          </cell>
          <cell r="G698">
            <v>0.21053885447134463</v>
          </cell>
          <cell r="H698">
            <v>0.32050343982972318</v>
          </cell>
          <cell r="I698">
            <v>0.33031494558871333</v>
          </cell>
        </row>
        <row r="699">
          <cell r="A699" t="str">
            <v>RHES-SHCONBR8</v>
          </cell>
          <cell r="B699" t="str">
            <v>VAR_fout</v>
          </cell>
          <cell r="C699" t="str">
            <v>RHES-SHCON</v>
          </cell>
          <cell r="E699">
            <v>7.5013041418140952E-5</v>
          </cell>
          <cell r="F699">
            <v>8.1099089383873747E-5</v>
          </cell>
          <cell r="G699">
            <v>5.8646855102305533E-5</v>
          </cell>
          <cell r="H699">
            <v>7.3782320123735442E-5</v>
          </cell>
          <cell r="I699">
            <v>5.3635011854077768E-5</v>
          </cell>
        </row>
        <row r="700">
          <cell r="A700" t="str">
            <v>RHES-SHCONBR8</v>
          </cell>
          <cell r="B700" t="str">
            <v>VAR_fin</v>
          </cell>
          <cell r="C700" t="str">
            <v>CON</v>
          </cell>
          <cell r="E700">
            <v>7.5013041418140952E-5</v>
          </cell>
          <cell r="F700">
            <v>8.1099089383873747E-5</v>
          </cell>
          <cell r="G700">
            <v>5.8646855102305533E-5</v>
          </cell>
          <cell r="H700">
            <v>7.3782320123735442E-5</v>
          </cell>
          <cell r="I700">
            <v>5.3635011854077768E-5</v>
          </cell>
        </row>
        <row r="701">
          <cell r="A701" t="str">
            <v>RHES-SHCONBR8</v>
          </cell>
          <cell r="B701" t="str">
            <v>VAR_ncap</v>
          </cell>
          <cell r="C701" t="str">
            <v>-</v>
          </cell>
          <cell r="I701">
            <v>1.26683390804007E-8</v>
          </cell>
        </row>
        <row r="702">
          <cell r="A702" t="str">
            <v>RHES-SHCONBR8</v>
          </cell>
          <cell r="B702" t="str">
            <v>VAR_cap</v>
          </cell>
          <cell r="C702" t="str">
            <v>-</v>
          </cell>
          <cell r="F702">
            <v>-3.4005893224099701E-8</v>
          </cell>
          <cell r="G702">
            <v>-4.26153299376022E-8</v>
          </cell>
          <cell r="H702">
            <v>-7.79117181092416E-8</v>
          </cell>
          <cell r="I702">
            <v>-2.4958952049682595E-8</v>
          </cell>
        </row>
        <row r="703">
          <cell r="A703" t="str">
            <v>RHEM-SHWODBR</v>
          </cell>
          <cell r="B703" t="str">
            <v>VAR_fout</v>
          </cell>
          <cell r="C703" t="str">
            <v>RHEM-SHWOD</v>
          </cell>
          <cell r="D703">
            <v>4.7439254789844041</v>
          </cell>
          <cell r="E703">
            <v>4.0526428720534131</v>
          </cell>
          <cell r="F703">
            <v>4.9912901755430283</v>
          </cell>
          <cell r="G703">
            <v>4.9325924782366783</v>
          </cell>
          <cell r="H703">
            <v>4.3023239960044632</v>
          </cell>
          <cell r="I703">
            <v>3.6359162676509116</v>
          </cell>
        </row>
        <row r="704">
          <cell r="A704" t="str">
            <v>RHEM-SHWODBR</v>
          </cell>
          <cell r="B704" t="str">
            <v>VAR_fin</v>
          </cell>
          <cell r="C704" t="str">
            <v>RHEMWODBRC</v>
          </cell>
          <cell r="D704">
            <v>4.7439254789844041</v>
          </cell>
          <cell r="E704">
            <v>4.0526428720534131</v>
          </cell>
          <cell r="F704">
            <v>4.9912901755430283</v>
          </cell>
          <cell r="G704">
            <v>4.9325924782366783</v>
          </cell>
          <cell r="H704">
            <v>4.3023239960044632</v>
          </cell>
          <cell r="I704">
            <v>3.6359162676509116</v>
          </cell>
        </row>
        <row r="705">
          <cell r="A705" t="str">
            <v>RHEM-SHWODBR</v>
          </cell>
          <cell r="B705" t="str">
            <v>VAR_fin</v>
          </cell>
          <cell r="C705" t="str">
            <v>RWOD</v>
          </cell>
          <cell r="D705">
            <v>6.5887853874783433</v>
          </cell>
          <cell r="E705">
            <v>5.6286706556297332</v>
          </cell>
          <cell r="F705">
            <v>6.9131567753571623</v>
          </cell>
          <cell r="G705">
            <v>6.7446182445882874</v>
          </cell>
          <cell r="H705">
            <v>5.8254525451240484</v>
          </cell>
          <cell r="I705">
            <v>4.8587558688686867</v>
          </cell>
        </row>
        <row r="706">
          <cell r="A706" t="str">
            <v>RHEM-SHWODBR</v>
          </cell>
          <cell r="B706" t="str">
            <v>VAR_ncap</v>
          </cell>
          <cell r="C706" t="str">
            <v>-</v>
          </cell>
          <cell r="D706">
            <v>8.3651776724662701E-7</v>
          </cell>
          <cell r="E706">
            <v>4.5833433828391799E-7</v>
          </cell>
          <cell r="F706">
            <v>1.7405509692950499E-2</v>
          </cell>
          <cell r="G706">
            <v>4.48378355625163E-7</v>
          </cell>
          <cell r="H706">
            <v>7.8711851525590404E-2</v>
          </cell>
          <cell r="I706">
            <v>0.105718645358426</v>
          </cell>
        </row>
        <row r="707">
          <cell r="A707" t="str">
            <v>RHEM-SHWODBR</v>
          </cell>
          <cell r="B707" t="str">
            <v>VAR_cap</v>
          </cell>
          <cell r="C707" t="str">
            <v>-</v>
          </cell>
          <cell r="D707">
            <v>0.33507261547276024</v>
          </cell>
          <cell r="E707">
            <v>0.33507243513380752</v>
          </cell>
          <cell r="F707">
            <v>0.35247825094502622</v>
          </cell>
          <cell r="G707">
            <v>0.35247612609607626</v>
          </cell>
          <cell r="H707">
            <v>0.30383720578712003</v>
          </cell>
          <cell r="I707">
            <v>0.2567651253390606</v>
          </cell>
        </row>
        <row r="708">
          <cell r="A708" t="str">
            <v>RHES-SHCONBR9</v>
          </cell>
          <cell r="B708" t="str">
            <v>VAR_fout</v>
          </cell>
          <cell r="C708" t="str">
            <v>RHES-SHCON</v>
          </cell>
          <cell r="E708">
            <v>7.4965658829237528E-5</v>
          </cell>
          <cell r="F708">
            <v>8.0765337304171875E-5</v>
          </cell>
          <cell r="G708">
            <v>5.817714966867819E-5</v>
          </cell>
          <cell r="H708">
            <v>7.3274869186289434E-5</v>
          </cell>
          <cell r="I708">
            <v>5.3201196646970505E-5</v>
          </cell>
        </row>
        <row r="709">
          <cell r="A709" t="str">
            <v>RHES-SHCONBR9</v>
          </cell>
          <cell r="B709" t="str">
            <v>VAR_fin</v>
          </cell>
          <cell r="C709" t="str">
            <v>CON</v>
          </cell>
          <cell r="E709">
            <v>7.4965658829237528E-5</v>
          </cell>
          <cell r="F709">
            <v>8.0765337304171875E-5</v>
          </cell>
          <cell r="G709">
            <v>5.817714966867819E-5</v>
          </cell>
          <cell r="H709">
            <v>7.3274869186289434E-5</v>
          </cell>
          <cell r="I709">
            <v>5.3201196646970505E-5</v>
          </cell>
        </row>
        <row r="710">
          <cell r="A710" t="str">
            <v>RHES-SHCONBR9</v>
          </cell>
          <cell r="B710" t="str">
            <v>VAR_cap</v>
          </cell>
          <cell r="C710" t="str">
            <v>-</v>
          </cell>
          <cell r="F710">
            <v>-3.3908735079951097E-8</v>
          </cell>
          <cell r="G710">
            <v>-4.3071726327757899E-8</v>
          </cell>
          <cell r="H710">
            <v>-7.9895376830588202E-8</v>
          </cell>
          <cell r="I710">
            <v>-3.9300868251705899E-8</v>
          </cell>
        </row>
        <row r="711">
          <cell r="A711" t="str">
            <v>D-RHNS_LTH_CHPNGA</v>
          </cell>
          <cell r="B711" t="str">
            <v>VAR_fout</v>
          </cell>
          <cell r="C711" t="str">
            <v>RHSA_LTH</v>
          </cell>
          <cell r="D711">
            <v>7.4191373610043681E-5</v>
          </cell>
          <cell r="E711">
            <v>2.3724276107352539E-5</v>
          </cell>
          <cell r="F711">
            <v>4.3271195530579336E-4</v>
          </cell>
          <cell r="G711">
            <v>1.926768716508713E-3</v>
          </cell>
          <cell r="H711">
            <v>1.1064053419906276E-3</v>
          </cell>
          <cell r="I711">
            <v>9.5774949279085297E-4</v>
          </cell>
        </row>
        <row r="712">
          <cell r="A712" t="str">
            <v>D-RHNS_LTH_CHPNGA</v>
          </cell>
          <cell r="B712" t="str">
            <v>VAR_fout</v>
          </cell>
          <cell r="C712" t="str">
            <v>LTH</v>
          </cell>
          <cell r="G712">
            <v>3.1422102105089632E-7</v>
          </cell>
          <cell r="H712">
            <v>1.5049180368692184E-6</v>
          </cell>
          <cell r="I712">
            <v>3.7233342228928121E-7</v>
          </cell>
        </row>
        <row r="713">
          <cell r="A713" t="str">
            <v>D-RHNS_LTH_CHPNGA</v>
          </cell>
          <cell r="B713" t="str">
            <v>VAR_fout</v>
          </cell>
          <cell r="C713" t="str">
            <v>RHNS_LTH_CHPNGA_ON</v>
          </cell>
          <cell r="D713">
            <v>4.5314362401275005E-5</v>
          </cell>
          <cell r="E713">
            <v>9.1331381403649751E-4</v>
          </cell>
          <cell r="F713">
            <v>1.1224708598991235E-3</v>
          </cell>
          <cell r="H713">
            <v>8.4655726995837971E-4</v>
          </cell>
        </row>
        <row r="714">
          <cell r="A714" t="str">
            <v>D-RHNS_LTH_CHPNGA</v>
          </cell>
          <cell r="B714" t="str">
            <v>VAR_fin</v>
          </cell>
          <cell r="C714" t="str">
            <v>RHNS_LTH_CHPNGA</v>
          </cell>
          <cell r="D714">
            <v>1.1950573601131873E-4</v>
          </cell>
          <cell r="E714">
            <v>9.3734616973278884E-4</v>
          </cell>
          <cell r="F714">
            <v>1.555798604238362E-3</v>
          </cell>
          <cell r="G714">
            <v>1.9281372208662907E-3</v>
          </cell>
          <cell r="H714">
            <v>1.9557441487833313E-3</v>
          </cell>
          <cell r="I714">
            <v>9.598795869051244E-4</v>
          </cell>
        </row>
        <row r="715">
          <cell r="A715" t="str">
            <v>D-SLFO</v>
          </cell>
          <cell r="B715" t="str">
            <v>VAR_fout</v>
          </cell>
          <cell r="C715" t="str">
            <v>CO2</v>
          </cell>
          <cell r="D715">
            <v>2267.7886725573599</v>
          </cell>
          <cell r="E715">
            <v>1988.1083392676701</v>
          </cell>
          <cell r="F715">
            <v>1985.93539075386</v>
          </cell>
          <cell r="G715">
            <v>1438.3802653319999</v>
          </cell>
          <cell r="H715">
            <v>900.85933718968204</v>
          </cell>
          <cell r="I715">
            <v>389.30618083760402</v>
          </cell>
        </row>
        <row r="716">
          <cell r="A716" t="str">
            <v>D-SLFO</v>
          </cell>
          <cell r="B716" t="str">
            <v>VAR_fout</v>
          </cell>
          <cell r="C716" t="str">
            <v>SLFO</v>
          </cell>
          <cell r="D716">
            <v>30.256634448509324</v>
          </cell>
          <cell r="E716">
            <v>26.525164356439156</v>
          </cell>
          <cell r="F716">
            <v>26.49623702374738</v>
          </cell>
          <cell r="G716">
            <v>19.190922916305198</v>
          </cell>
          <cell r="H716">
            <v>12.019388751947385</v>
          </cell>
          <cell r="I716">
            <v>5.1942290398926581</v>
          </cell>
        </row>
        <row r="717">
          <cell r="A717" t="str">
            <v>D-SLFO</v>
          </cell>
          <cell r="B717" t="str">
            <v>VAR_fin</v>
          </cell>
          <cell r="C717" t="str">
            <v>LFO</v>
          </cell>
          <cell r="D717">
            <v>30.770538297928887</v>
          </cell>
          <cell r="E717">
            <v>26.975689813672659</v>
          </cell>
          <cell r="F717">
            <v>26.946206116063262</v>
          </cell>
          <cell r="G717">
            <v>19.516692881031222</v>
          </cell>
          <cell r="H717">
            <v>12.223328862817944</v>
          </cell>
          <cell r="I717">
            <v>5.2823091022741488</v>
          </cell>
        </row>
        <row r="718">
          <cell r="A718" t="str">
            <v>D-SLFO</v>
          </cell>
          <cell r="B718" t="str">
            <v>VAR_fin</v>
          </cell>
          <cell r="C718" t="str">
            <v>BDS</v>
          </cell>
          <cell r="F718">
            <v>6.413338273930446E-5</v>
          </cell>
          <cell r="G718">
            <v>1.8449377675991619E-4</v>
          </cell>
          <cell r="H718">
            <v>2.0779051438613076E-4</v>
          </cell>
          <cell r="I718">
            <v>1.4277076309363956E-4</v>
          </cell>
        </row>
        <row r="719">
          <cell r="A719" t="str">
            <v>D-RCOA</v>
          </cell>
          <cell r="B719" t="str">
            <v>VAR_fout</v>
          </cell>
          <cell r="C719" t="str">
            <v>CO2</v>
          </cell>
          <cell r="D719">
            <v>9.2703674609388091</v>
          </cell>
          <cell r="E719">
            <v>9.2702427911698706</v>
          </cell>
          <cell r="F719">
            <v>2.4987500003717402</v>
          </cell>
          <cell r="G719">
            <v>0.56198255957779597</v>
          </cell>
        </row>
        <row r="720">
          <cell r="A720" t="str">
            <v>D-RCOA</v>
          </cell>
          <cell r="B720" t="str">
            <v>VAR_fout</v>
          </cell>
          <cell r="C720" t="str">
            <v>RCOA</v>
          </cell>
          <cell r="D720">
            <v>0.10000396397992256</v>
          </cell>
          <cell r="E720">
            <v>0.10000261910647119</v>
          </cell>
          <cell r="F720">
            <v>2.6955231934970274E-2</v>
          </cell>
          <cell r="G720">
            <v>6.0623792834713728E-3</v>
          </cell>
        </row>
        <row r="721">
          <cell r="A721" t="str">
            <v>D-RCOA</v>
          </cell>
          <cell r="B721" t="str">
            <v>VAR_fin</v>
          </cell>
          <cell r="C721" t="str">
            <v>COA</v>
          </cell>
          <cell r="D721">
            <v>0.10000396397992256</v>
          </cell>
          <cell r="E721">
            <v>0.10000261910647119</v>
          </cell>
          <cell r="F721">
            <v>2.6955231934970274E-2</v>
          </cell>
          <cell r="G721">
            <v>6.0623792834713728E-3</v>
          </cell>
        </row>
        <row r="722">
          <cell r="A722" t="str">
            <v>SCOM-ELCSPECDC</v>
          </cell>
          <cell r="B722" t="str">
            <v>VAR_fout</v>
          </cell>
          <cell r="C722" t="str">
            <v>SCOM-ELSDC</v>
          </cell>
          <cell r="F722">
            <v>13.290698929185066</v>
          </cell>
          <cell r="G722">
            <v>14.08933524528514</v>
          </cell>
          <cell r="H722">
            <v>15.634211432487488</v>
          </cell>
          <cell r="I722">
            <v>16.89953198073799</v>
          </cell>
        </row>
        <row r="723">
          <cell r="A723" t="str">
            <v>SCOM-ELCSPECDC</v>
          </cell>
          <cell r="B723" t="str">
            <v>VAR_fin</v>
          </cell>
          <cell r="C723" t="str">
            <v>SCOM_ELC</v>
          </cell>
          <cell r="F723">
            <v>13.290698929185066</v>
          </cell>
          <cell r="G723">
            <v>14.08933524528514</v>
          </cell>
          <cell r="H723">
            <v>15.634211432487488</v>
          </cell>
          <cell r="I723">
            <v>16.89953198073799</v>
          </cell>
        </row>
        <row r="724">
          <cell r="A724" t="str">
            <v>D-RHEM_KEV_WOD_ELC_CHP</v>
          </cell>
          <cell r="B724" t="str">
            <v>VAR_fout</v>
          </cell>
          <cell r="C724" t="str">
            <v>ELC5</v>
          </cell>
          <cell r="G724">
            <v>4.3062656067196245E-4</v>
          </cell>
          <cell r="H724">
            <v>4.3639741480773226E-4</v>
          </cell>
          <cell r="I724">
            <v>2.4150529617883952E-4</v>
          </cell>
        </row>
        <row r="725">
          <cell r="A725" t="str">
            <v>D-RHEM_KEV_WOD_ELC_CHP</v>
          </cell>
          <cell r="B725" t="str">
            <v>VAR_fout</v>
          </cell>
          <cell r="C725" t="str">
            <v>RHEM_ELC</v>
          </cell>
          <cell r="G725">
            <v>4.3017995107441116E-4</v>
          </cell>
          <cell r="H725">
            <v>4.3597175207834156E-4</v>
          </cell>
          <cell r="I725">
            <v>2.4130928441782327E-4</v>
          </cell>
        </row>
        <row r="726">
          <cell r="A726" t="str">
            <v>D-RHEM_KEV_WOD_ELC_CHP</v>
          </cell>
          <cell r="B726" t="str">
            <v>VAR_fin</v>
          </cell>
          <cell r="C726" t="str">
            <v>RHEM_KEV_WOD_ELC_CHP</v>
          </cell>
          <cell r="G726">
            <v>8.4853654257636133E-4</v>
          </cell>
          <cell r="H726">
            <v>8.5647709242505016E-4</v>
          </cell>
          <cell r="I726">
            <v>4.7018223107720883E-4</v>
          </cell>
        </row>
        <row r="727">
          <cell r="A727" t="str">
            <v>RHES-SHSTG-SOL</v>
          </cell>
          <cell r="B727" t="str">
            <v>VAR_fout</v>
          </cell>
          <cell r="C727" t="str">
            <v>RHES-SHASOL</v>
          </cell>
          <cell r="D727">
            <v>3.4987189926020524E-5</v>
          </cell>
          <cell r="E727">
            <v>8.2380294657582802E-6</v>
          </cell>
          <cell r="F727">
            <v>3.4860711050908517E-3</v>
          </cell>
          <cell r="G727">
            <v>2.1253603536263588E-3</v>
          </cell>
          <cell r="H727">
            <v>2.1228225064750124E-3</v>
          </cell>
          <cell r="I727">
            <v>1.9491295211132209E-3</v>
          </cell>
        </row>
        <row r="728">
          <cell r="A728" t="str">
            <v>RHES-SHSTG-SOL</v>
          </cell>
          <cell r="B728" t="str">
            <v>VAR_fin</v>
          </cell>
          <cell r="C728" t="str">
            <v>RHES-SHASOL</v>
          </cell>
          <cell r="D728">
            <v>1.2263292711926939E-6</v>
          </cell>
          <cell r="E728">
            <v>2.2230334494551878E-5</v>
          </cell>
          <cell r="F728">
            <v>3.499381522459424E-3</v>
          </cell>
          <cell r="G728">
            <v>2.137481160883711E-3</v>
          </cell>
          <cell r="H728">
            <v>2.1274929678426931E-3</v>
          </cell>
          <cell r="I728">
            <v>1.9562762554658471E-3</v>
          </cell>
        </row>
        <row r="729">
          <cell r="A729" t="str">
            <v>RHES-SHSTG-SOL</v>
          </cell>
          <cell r="B729" t="str">
            <v>VAR_ncap</v>
          </cell>
          <cell r="C729" t="str">
            <v>-</v>
          </cell>
          <cell r="D729">
            <v>9.9292210926261205E-3</v>
          </cell>
          <cell r="E729">
            <v>1.23327100144558E-3</v>
          </cell>
          <cell r="F729">
            <v>3.0798542868049799E-7</v>
          </cell>
          <cell r="G729">
            <v>4.6195485179188602E-7</v>
          </cell>
          <cell r="H729">
            <v>6.3512479168144895E-4</v>
          </cell>
          <cell r="I729">
            <v>2.2782996651868299E-4</v>
          </cell>
        </row>
        <row r="730">
          <cell r="A730" t="str">
            <v>RHES-SHSTG-SOL</v>
          </cell>
          <cell r="B730" t="str">
            <v>VAR_cap</v>
          </cell>
          <cell r="C730" t="str">
            <v>-</v>
          </cell>
          <cell r="D730">
            <v>9.9292210926261205E-3</v>
          </cell>
          <cell r="E730">
            <v>1.11624920940717E-2</v>
          </cell>
          <cell r="F730">
            <v>1.11628000795004E-2</v>
          </cell>
          <cell r="G730">
            <v>1.11632620343522E-2</v>
          </cell>
          <cell r="H730">
            <v>6.8204682167750203E-4</v>
          </cell>
          <cell r="I730">
            <v>7.08452554084312E-4</v>
          </cell>
        </row>
        <row r="731">
          <cell r="A731" t="str">
            <v>D-ITOT_LTH</v>
          </cell>
          <cell r="B731" t="str">
            <v>VAR_fout</v>
          </cell>
          <cell r="C731" t="str">
            <v>ITOT_LTH_DH</v>
          </cell>
          <cell r="D731">
            <v>7.1200134745059689</v>
          </cell>
          <cell r="E731">
            <v>7.6289112348133807</v>
          </cell>
          <cell r="F731">
            <v>7.368686244458055</v>
          </cell>
          <cell r="G731">
            <v>7.7973482620782946</v>
          </cell>
          <cell r="H731">
            <v>8.1683775362205644</v>
          </cell>
          <cell r="I731">
            <v>8.7089282942718889</v>
          </cell>
        </row>
        <row r="732">
          <cell r="A732" t="str">
            <v>D-ITOT_LTH</v>
          </cell>
          <cell r="B732" t="str">
            <v>VAR_fin</v>
          </cell>
          <cell r="C732" t="str">
            <v>LTH</v>
          </cell>
          <cell r="D732">
            <v>7.7403503390258317</v>
          </cell>
          <cell r="E732">
            <v>8.2914065687045344</v>
          </cell>
          <cell r="F732">
            <v>8.0054277321319169</v>
          </cell>
          <cell r="G732">
            <v>8.4655712645940415</v>
          </cell>
          <cell r="H732">
            <v>8.8567711731382026</v>
          </cell>
          <cell r="I732">
            <v>9.4305140627298751</v>
          </cell>
        </row>
        <row r="733">
          <cell r="A733" t="str">
            <v>D-ITOT_LTH</v>
          </cell>
          <cell r="B733" t="str">
            <v>VAR_ncap</v>
          </cell>
          <cell r="C733" t="str">
            <v>-</v>
          </cell>
          <cell r="D733">
            <v>0.79547432578180099</v>
          </cell>
          <cell r="E733">
            <v>4.4203111586728898E-8</v>
          </cell>
          <cell r="F733">
            <v>5.0305850505469399E-8</v>
          </cell>
          <cell r="G733">
            <v>5.7756503054329702E-8</v>
          </cell>
          <cell r="H733">
            <v>8.6308563349925906E-8</v>
          </cell>
          <cell r="I733">
            <v>1.0698829830193299E-7</v>
          </cell>
        </row>
        <row r="734">
          <cell r="A734" t="str">
            <v>D-ITOT_LTH</v>
          </cell>
          <cell r="B734" t="str">
            <v>VAR_cap</v>
          </cell>
          <cell r="C734" t="str">
            <v>-</v>
          </cell>
          <cell r="D734">
            <v>0.79547432578180099</v>
          </cell>
          <cell r="E734">
            <v>0.79547436998491206</v>
          </cell>
          <cell r="F734">
            <v>0.79547442029076298</v>
          </cell>
          <cell r="G734">
            <v>0.79547447804726601</v>
          </cell>
          <cell r="H734">
            <v>0.79547464822358105</v>
          </cell>
          <cell r="I734">
            <v>0.79547475521188005</v>
          </cell>
        </row>
        <row r="735">
          <cell r="A735" t="str">
            <v>D-IH2</v>
          </cell>
          <cell r="B735" t="str">
            <v>VAR_fout</v>
          </cell>
          <cell r="C735" t="str">
            <v>IH2</v>
          </cell>
          <cell r="G735">
            <v>9.7481124832496542E-4</v>
          </cell>
          <cell r="H735">
            <v>8.7906475025105214E-3</v>
          </cell>
          <cell r="I735">
            <v>1.9629748542364121E-2</v>
          </cell>
        </row>
        <row r="736">
          <cell r="A736" t="str">
            <v>D-IH2</v>
          </cell>
          <cell r="B736" t="str">
            <v>VAR_fin</v>
          </cell>
          <cell r="C736" t="str">
            <v>H2</v>
          </cell>
          <cell r="G736">
            <v>9.8223773865936041E-4</v>
          </cell>
          <cell r="H736">
            <v>8.8576180661172066E-3</v>
          </cell>
          <cell r="I736">
            <v>1.9779295583462544E-2</v>
          </cell>
        </row>
        <row r="737">
          <cell r="A737" t="str">
            <v>D-IH2</v>
          </cell>
          <cell r="B737" t="str">
            <v>VAR_ncap</v>
          </cell>
          <cell r="C737" t="str">
            <v>-</v>
          </cell>
          <cell r="G737">
            <v>1.66142170533535E-4</v>
          </cell>
          <cell r="H737">
            <v>1.40908264562634E-3</v>
          </cell>
          <cell r="I737">
            <v>1.4311050766833799E-3</v>
          </cell>
        </row>
        <row r="738">
          <cell r="A738" t="str">
            <v>D-IH2</v>
          </cell>
          <cell r="B738" t="str">
            <v>VAR_cap</v>
          </cell>
          <cell r="C738" t="str">
            <v>-</v>
          </cell>
          <cell r="G738">
            <v>1.66142170533535E-4</v>
          </cell>
          <cell r="H738">
            <v>1.84388369141538E-3</v>
          </cell>
          <cell r="I738">
            <v>3.2749887680987699E-3</v>
          </cell>
        </row>
        <row r="739">
          <cell r="A739" t="str">
            <v>D-RHNM_LTH_CHPWOD</v>
          </cell>
          <cell r="B739" t="str">
            <v>VAR_fout</v>
          </cell>
          <cell r="C739" t="str">
            <v>RHNM_LTH_CHPWOD_ON</v>
          </cell>
          <cell r="D739">
            <v>6.0447754782841668E-5</v>
          </cell>
          <cell r="E739">
            <v>4.6524161079928283E-5</v>
          </cell>
          <cell r="F739">
            <v>1.3643868625633969E-5</v>
          </cell>
          <cell r="H739">
            <v>9.1605399379937385E-4</v>
          </cell>
        </row>
        <row r="740">
          <cell r="A740" t="str">
            <v>D-RHNM_LTH_CHPWOD</v>
          </cell>
          <cell r="B740" t="str">
            <v>VAR_fout</v>
          </cell>
          <cell r="C740" t="str">
            <v>RHSA_LTH</v>
          </cell>
          <cell r="D740">
            <v>5.6064712485607761E-5</v>
          </cell>
          <cell r="E740">
            <v>5.4257071035455003E-5</v>
          </cell>
          <cell r="F740">
            <v>3.4457241209175394E-5</v>
          </cell>
          <cell r="G740">
            <v>2.1325938627185376E-3</v>
          </cell>
          <cell r="H740">
            <v>4.0414892134037938E-4</v>
          </cell>
          <cell r="I740">
            <v>6.6230944998020601E-4</v>
          </cell>
        </row>
        <row r="741">
          <cell r="A741" t="str">
            <v>D-RHNM_LTH_CHPWOD</v>
          </cell>
          <cell r="B741" t="str">
            <v>VAR_fout</v>
          </cell>
          <cell r="C741" t="str">
            <v>LTH</v>
          </cell>
          <cell r="E741">
            <v>6.3935814972862217E-7</v>
          </cell>
          <cell r="H741">
            <v>3.5829861853611276E-7</v>
          </cell>
          <cell r="I741">
            <v>2.549755002146624E-7</v>
          </cell>
        </row>
        <row r="742">
          <cell r="A742" t="str">
            <v>D-RHNM_LTH_CHPWOD</v>
          </cell>
          <cell r="B742" t="str">
            <v>VAR_fin</v>
          </cell>
          <cell r="C742" t="str">
            <v>RHNM_LTH_CHPWOD</v>
          </cell>
          <cell r="D742">
            <v>1.1651246726844945E-4</v>
          </cell>
          <cell r="E742">
            <v>1.0274744708412108E-4</v>
          </cell>
          <cell r="F742">
            <v>4.9360656233133624E-5</v>
          </cell>
          <cell r="G742">
            <v>2.1340882849654745E-3</v>
          </cell>
          <cell r="H742">
            <v>1.3221099329744051E-3</v>
          </cell>
          <cell r="I742">
            <v>6.6377913468927327E-4</v>
          </cell>
        </row>
        <row r="743">
          <cell r="A743" t="str">
            <v>RHNS-SHWODBR</v>
          </cell>
          <cell r="B743" t="str">
            <v>VAR_fout</v>
          </cell>
          <cell r="C743" t="str">
            <v>RHNS-SHWOD</v>
          </cell>
          <cell r="E743">
            <v>2.6575917541078901E-2</v>
          </cell>
          <cell r="F743">
            <v>5.4090175382735556E-2</v>
          </cell>
          <cell r="G743">
            <v>0.10204114072428311</v>
          </cell>
          <cell r="H743">
            <v>0.16225971280261059</v>
          </cell>
          <cell r="I743">
            <v>0.20226423607796368</v>
          </cell>
        </row>
        <row r="744">
          <cell r="A744" t="str">
            <v>RHNS-SHWODBR</v>
          </cell>
          <cell r="B744" t="str">
            <v>VAR_fin</v>
          </cell>
          <cell r="C744" t="str">
            <v>RHNSWODBRC</v>
          </cell>
          <cell r="E744">
            <v>2.6575917541078901E-2</v>
          </cell>
          <cell r="F744">
            <v>5.4090175382735556E-2</v>
          </cell>
          <cell r="G744">
            <v>0.10204114072428311</v>
          </cell>
          <cell r="H744">
            <v>0.16225971280261059</v>
          </cell>
          <cell r="I744">
            <v>0.20226423607796368</v>
          </cell>
        </row>
        <row r="745">
          <cell r="A745" t="str">
            <v>RHNS-SHWODBR</v>
          </cell>
          <cell r="B745" t="str">
            <v>VAR_fin</v>
          </cell>
          <cell r="C745" t="str">
            <v>RWOD</v>
          </cell>
          <cell r="E745">
            <v>3.6910996584831823E-2</v>
          </cell>
          <cell r="F745">
            <v>7.2793171497314235E-2</v>
          </cell>
          <cell r="G745">
            <v>0.13679605897644576</v>
          </cell>
          <cell r="H745">
            <v>0.21656622309498327</v>
          </cell>
          <cell r="I745">
            <v>0.26976653686176993</v>
          </cell>
        </row>
        <row r="746">
          <cell r="A746" t="str">
            <v>RHNS-SHWODBR</v>
          </cell>
          <cell r="B746" t="str">
            <v>VAR_ncap</v>
          </cell>
          <cell r="C746" t="str">
            <v>-</v>
          </cell>
          <cell r="E746">
            <v>1.9689164116136301E-3</v>
          </cell>
          <cell r="F746">
            <v>5.4879535703841499E-3</v>
          </cell>
        </row>
        <row r="747">
          <cell r="A747" t="str">
            <v>RHNS-SHWODBR</v>
          </cell>
          <cell r="B747" t="str">
            <v>VAR_cap</v>
          </cell>
          <cell r="C747" t="str">
            <v>-</v>
          </cell>
          <cell r="E747">
            <v>1.9689164116136301E-3</v>
          </cell>
          <cell r="F747">
            <v>7.4565437241951929E-3</v>
          </cell>
          <cell r="G747">
            <v>7.4566338991738524E-3</v>
          </cell>
          <cell r="H747">
            <v>3.4860940371219111E-2</v>
          </cell>
          <cell r="I747">
            <v>1.4740110269160145E-2</v>
          </cell>
        </row>
        <row r="748">
          <cell r="A748" t="str">
            <v>D-RHNM_NKEV_GAS_ELC_CHP</v>
          </cell>
          <cell r="B748" t="str">
            <v>VAR_fout</v>
          </cell>
          <cell r="C748" t="str">
            <v>ELC5</v>
          </cell>
          <cell r="E748">
            <v>6.2225852577163564E-4</v>
          </cell>
          <cell r="F748">
            <v>1.3355581976460698E-3</v>
          </cell>
          <cell r="G748">
            <v>0.16825105295243248</v>
          </cell>
          <cell r="H748">
            <v>0.95542042654885984</v>
          </cell>
          <cell r="I748">
            <v>1.1461990094092824</v>
          </cell>
        </row>
        <row r="749">
          <cell r="A749" t="str">
            <v>D-RHNM_NKEV_GAS_ELC_CHP</v>
          </cell>
          <cell r="B749" t="str">
            <v>VAR_fout</v>
          </cell>
          <cell r="C749" t="str">
            <v>RHNM_ELC</v>
          </cell>
          <cell r="E749">
            <v>6.2203761351995043E-4</v>
          </cell>
          <cell r="F749">
            <v>1.3320975871304976E-3</v>
          </cell>
          <cell r="G749">
            <v>0.16658662752286033</v>
          </cell>
          <cell r="H749">
            <v>0.90633537969314237</v>
          </cell>
          <cell r="I749">
            <v>1.0712338326823838</v>
          </cell>
        </row>
        <row r="750">
          <cell r="A750" t="str">
            <v>D-RHNM_NKEV_GAS_ELC_CHP</v>
          </cell>
          <cell r="B750" t="str">
            <v>VAR_fin</v>
          </cell>
          <cell r="C750" t="str">
            <v>RHNM_NKEV_GAS_ELC_CHP</v>
          </cell>
          <cell r="E750">
            <v>1.2442961392915863E-3</v>
          </cell>
          <cell r="F750">
            <v>2.656427195385243E-3</v>
          </cell>
          <cell r="G750">
            <v>0.33483768047529294</v>
          </cell>
          <cell r="H750">
            <v>1.8617558062420008</v>
          </cell>
          <cell r="I750">
            <v>2.2174328420916662</v>
          </cell>
        </row>
        <row r="751">
          <cell r="A751" t="str">
            <v>D-RLFO</v>
          </cell>
          <cell r="B751" t="str">
            <v>VAR_fout</v>
          </cell>
          <cell r="C751" t="str">
            <v>CO2</v>
          </cell>
          <cell r="D751">
            <v>4514.4866764600702</v>
          </cell>
          <cell r="E751">
            <v>3846.5290514143899</v>
          </cell>
          <cell r="F751">
            <v>3738.7366679840602</v>
          </cell>
          <cell r="G751">
            <v>2434.1112412084699</v>
          </cell>
          <cell r="H751">
            <v>1291.1150741393801</v>
          </cell>
          <cell r="I751">
            <v>427.451479614341</v>
          </cell>
        </row>
        <row r="752">
          <cell r="A752" t="str">
            <v>D-RLFO</v>
          </cell>
          <cell r="B752" t="str">
            <v>VAR_fout</v>
          </cell>
          <cell r="C752" t="str">
            <v>RLFO</v>
          </cell>
          <cell r="D752">
            <v>60.231879074642158</v>
          </cell>
          <cell r="E752">
            <v>51.320047944755281</v>
          </cell>
          <cell r="F752">
            <v>49.881954877240332</v>
          </cell>
          <cell r="G752">
            <v>32.475880601332904</v>
          </cell>
          <cell r="H752">
            <v>17.226149373779666</v>
          </cell>
          <cell r="I752">
            <v>5.7031604264555122</v>
          </cell>
        </row>
        <row r="753">
          <cell r="A753" t="str">
            <v>D-RLFO</v>
          </cell>
          <cell r="B753" t="str">
            <v>VAR_fin</v>
          </cell>
          <cell r="C753" t="str">
            <v>LFO</v>
          </cell>
          <cell r="D753">
            <v>61.254907414654987</v>
          </cell>
          <cell r="E753">
            <v>52.19171033126721</v>
          </cell>
          <cell r="F753">
            <v>50.729127109688697</v>
          </cell>
          <cell r="G753">
            <v>33.027289568635943</v>
          </cell>
          <cell r="H753">
            <v>17.518522037169319</v>
          </cell>
          <cell r="I753">
            <v>5.7998843909679936</v>
          </cell>
        </row>
        <row r="754">
          <cell r="A754" t="str">
            <v>D-RLFO</v>
          </cell>
          <cell r="B754" t="str">
            <v>VAR_fin</v>
          </cell>
          <cell r="C754" t="str">
            <v>BDS</v>
          </cell>
          <cell r="F754">
            <v>6.4388040547881656E-5</v>
          </cell>
          <cell r="G754">
            <v>1.8829718203029885E-4</v>
          </cell>
          <cell r="H754">
            <v>2.1063012316219464E-4</v>
          </cell>
          <cell r="I754">
            <v>1.4323210623274775E-4</v>
          </cell>
        </row>
        <row r="755">
          <cell r="A755" t="str">
            <v>D-SCOM_LTH_CHPBIO</v>
          </cell>
          <cell r="B755" t="str">
            <v>VAR_fout</v>
          </cell>
          <cell r="C755" t="str">
            <v>SCOM_LTH_CHPBIO_ON</v>
          </cell>
          <cell r="D755">
            <v>1.4243137896014137</v>
          </cell>
          <cell r="E755">
            <v>1.5428021949177149</v>
          </cell>
        </row>
        <row r="756">
          <cell r="A756" t="str">
            <v>D-SCOM_LTH_CHPBIO</v>
          </cell>
          <cell r="B756" t="str">
            <v>VAR_fout</v>
          </cell>
          <cell r="C756" t="str">
            <v>LTH</v>
          </cell>
          <cell r="E756">
            <v>3.5526921871772976E-2</v>
          </cell>
        </row>
        <row r="757">
          <cell r="A757" t="str">
            <v>D-SCOM_LTH_CHPBIO</v>
          </cell>
          <cell r="B757" t="str">
            <v>VAR_fin</v>
          </cell>
          <cell r="C757" t="str">
            <v>SCOM_LTH_CHPBIO</v>
          </cell>
          <cell r="D757">
            <v>1.4243137896014137</v>
          </cell>
          <cell r="E757">
            <v>1.5783291167894877</v>
          </cell>
        </row>
        <row r="758">
          <cell r="A758" t="str">
            <v>D-SCOM_NKEV_GAS_ELC_CHP</v>
          </cell>
          <cell r="B758" t="str">
            <v>VAR_fout</v>
          </cell>
          <cell r="C758" t="str">
            <v>ELC5</v>
          </cell>
          <cell r="D758">
            <v>0.24756770828815158</v>
          </cell>
          <cell r="E758">
            <v>0.31358029131360859</v>
          </cell>
          <cell r="F758">
            <v>8.1796747129309656E-3</v>
          </cell>
          <cell r="G758">
            <v>8.4891688989747645E-3</v>
          </cell>
          <cell r="H758">
            <v>1.7239308168166767E-2</v>
          </cell>
          <cell r="I758">
            <v>2.9775619321834701</v>
          </cell>
        </row>
        <row r="759">
          <cell r="A759" t="str">
            <v>D-SCOM_NKEV_GAS_ELC_CHP</v>
          </cell>
          <cell r="B759" t="str">
            <v>VAR_fout</v>
          </cell>
          <cell r="C759" t="str">
            <v>SCOM_ELC</v>
          </cell>
          <cell r="D759">
            <v>0.34684632948339944</v>
          </cell>
          <cell r="E759">
            <v>0.31231114610393779</v>
          </cell>
          <cell r="F759">
            <v>8.1644552913502297E-3</v>
          </cell>
          <cell r="G759">
            <v>8.4689170093175531E-3</v>
          </cell>
          <cell r="H759">
            <v>1.7246627541719822E-2</v>
          </cell>
          <cell r="I759">
            <v>2.9563380591228059</v>
          </cell>
        </row>
        <row r="760">
          <cell r="A760" t="str">
            <v>D-SCOM_NKEV_GAS_ELC_CHP</v>
          </cell>
          <cell r="B760" t="str">
            <v>VAR_fin</v>
          </cell>
          <cell r="C760" t="str">
            <v>SCOM_NKEV_GAS_ELC_CHP</v>
          </cell>
          <cell r="D760">
            <v>0.59441403777155122</v>
          </cell>
          <cell r="E760">
            <v>0.62589143741754594</v>
          </cell>
          <cell r="F760">
            <v>1.6334125437085855E-2</v>
          </cell>
          <cell r="G760">
            <v>1.6958085908292314E-2</v>
          </cell>
          <cell r="H760">
            <v>3.4485935709886575E-2</v>
          </cell>
          <cell r="I760">
            <v>5.9338999913062791</v>
          </cell>
        </row>
        <row r="761">
          <cell r="A761" t="str">
            <v>RHEM-SHLTHDH</v>
          </cell>
          <cell r="B761" t="str">
            <v>VAR_fout</v>
          </cell>
          <cell r="C761" t="str">
            <v>RHEM-SHLTHD</v>
          </cell>
          <cell r="D761">
            <v>3.3918041132209598</v>
          </cell>
          <cell r="E761">
            <v>3.788770881903428</v>
          </cell>
          <cell r="F761">
            <v>4.3880013123966881</v>
          </cell>
          <cell r="G761">
            <v>4.8600814386912017</v>
          </cell>
          <cell r="H761">
            <v>5.0634808709918797</v>
          </cell>
          <cell r="I761">
            <v>5.158324127275046</v>
          </cell>
        </row>
        <row r="762">
          <cell r="A762" t="str">
            <v>RHEM-SHLTHDH</v>
          </cell>
          <cell r="B762" t="str">
            <v>VAR_fin</v>
          </cell>
          <cell r="C762" t="str">
            <v>RHEMLTHDHC</v>
          </cell>
          <cell r="D762">
            <v>3.3918041132209598</v>
          </cell>
          <cell r="E762">
            <v>3.788770881903428</v>
          </cell>
          <cell r="F762">
            <v>4.3880013123966881</v>
          </cell>
          <cell r="G762">
            <v>4.8600814386912017</v>
          </cell>
          <cell r="H762">
            <v>5.0634808709918797</v>
          </cell>
          <cell r="I762">
            <v>5.158324127275046</v>
          </cell>
        </row>
        <row r="763">
          <cell r="A763" t="str">
            <v>RHEM-SHLTHDH</v>
          </cell>
          <cell r="B763" t="str">
            <v>VAR_fin</v>
          </cell>
          <cell r="C763" t="str">
            <v>RHEM_LTH_DH</v>
          </cell>
          <cell r="D763">
            <v>3.4260647608292558</v>
          </cell>
          <cell r="E763">
            <v>3.8270412948519441</v>
          </cell>
          <cell r="F763">
            <v>4.9162557851376008</v>
          </cell>
          <cell r="G763">
            <v>5.4123474786288499</v>
          </cell>
          <cell r="H763">
            <v>5.604882186877381</v>
          </cell>
          <cell r="I763">
            <v>5.6673277800216884</v>
          </cell>
        </row>
        <row r="764">
          <cell r="A764" t="str">
            <v>RHEM-SHLTHDH</v>
          </cell>
          <cell r="B764" t="str">
            <v>VAR_ncap</v>
          </cell>
          <cell r="C764" t="str">
            <v>-</v>
          </cell>
          <cell r="D764">
            <v>3.35568525536863E-8</v>
          </cell>
          <cell r="E764">
            <v>2.8139470645962301E-2</v>
          </cell>
          <cell r="F764">
            <v>0.15964084361773101</v>
          </cell>
          <cell r="G764">
            <v>2.69046371824441E-2</v>
          </cell>
          <cell r="H764">
            <v>4.0714476948702602E-2</v>
          </cell>
          <cell r="I764">
            <v>7.6785061023492002E-2</v>
          </cell>
        </row>
        <row r="765">
          <cell r="A765" t="str">
            <v>RHEM-SHLTHDH</v>
          </cell>
          <cell r="B765" t="str">
            <v>VAR_cap</v>
          </cell>
          <cell r="C765" t="str">
            <v>-</v>
          </cell>
          <cell r="D765">
            <v>0.31562550066854056</v>
          </cell>
          <cell r="E765">
            <v>0.2763149216399412</v>
          </cell>
          <cell r="F765">
            <v>0.42789455095768791</v>
          </cell>
          <cell r="G765">
            <v>0.41096467954983196</v>
          </cell>
          <cell r="H765">
            <v>0.38893622198482997</v>
          </cell>
          <cell r="I765">
            <v>0.428509042372273</v>
          </cell>
        </row>
        <row r="766">
          <cell r="A766" t="str">
            <v>D-ITOT_SOLELC</v>
          </cell>
          <cell r="B766" t="str">
            <v>VAR_fout</v>
          </cell>
          <cell r="C766" t="str">
            <v>ITOT_ELC</v>
          </cell>
          <cell r="D766">
            <v>3.5158011830795717</v>
          </cell>
          <cell r="E766">
            <v>4.8484358737804039</v>
          </cell>
          <cell r="F766">
            <v>11.159482420425277</v>
          </cell>
          <cell r="G766">
            <v>12.078910873904794</v>
          </cell>
          <cell r="H766">
            <v>26.070879945920815</v>
          </cell>
          <cell r="I766">
            <v>30.166275210933154</v>
          </cell>
        </row>
        <row r="767">
          <cell r="A767" t="str">
            <v>D-ITOT_SOLELC</v>
          </cell>
          <cell r="B767" t="str">
            <v>VAR_fout</v>
          </cell>
          <cell r="C767" t="str">
            <v>ELC5</v>
          </cell>
          <cell r="D767">
            <v>2.1528166279595304E-3</v>
          </cell>
          <cell r="E767">
            <v>1.4007236229252353E-3</v>
          </cell>
          <cell r="F767">
            <v>1.1887155765120583E-3</v>
          </cell>
          <cell r="G767">
            <v>3.1573257852282585E-2</v>
          </cell>
          <cell r="H767">
            <v>5.7702216188579243</v>
          </cell>
          <cell r="I767">
            <v>10.986898824740072</v>
          </cell>
        </row>
        <row r="768">
          <cell r="A768" t="str">
            <v>D-ITOT_SOLELC</v>
          </cell>
          <cell r="B768" t="str">
            <v>VAR_fin</v>
          </cell>
          <cell r="C768" t="str">
            <v>ITOT_SOL_ELC</v>
          </cell>
          <cell r="D768">
            <v>3.517953999707534</v>
          </cell>
          <cell r="E768">
            <v>4.8498358630868532</v>
          </cell>
          <cell r="F768">
            <v>11.160671136001788</v>
          </cell>
          <cell r="G768">
            <v>12.110484131757087</v>
          </cell>
          <cell r="H768">
            <v>31.841101564778739</v>
          </cell>
          <cell r="I768">
            <v>41.153174035673267</v>
          </cell>
        </row>
        <row r="769">
          <cell r="A769" t="str">
            <v>D-SWOD</v>
          </cell>
          <cell r="B769" t="str">
            <v>VAR_fout</v>
          </cell>
          <cell r="C769" t="str">
            <v>SWOD</v>
          </cell>
          <cell r="D769">
            <v>8.5743737811904062</v>
          </cell>
          <cell r="E769">
            <v>9.4137715249378733</v>
          </cell>
          <cell r="F769">
            <v>9.5310150654032029</v>
          </cell>
          <cell r="G769">
            <v>9.6986795756729638</v>
          </cell>
          <cell r="H769">
            <v>8.440608409236372</v>
          </cell>
          <cell r="I769">
            <v>7.465139482230243</v>
          </cell>
        </row>
        <row r="770">
          <cell r="A770" t="str">
            <v>D-SWOD</v>
          </cell>
          <cell r="B770" t="str">
            <v>VAR_fin</v>
          </cell>
          <cell r="C770" t="str">
            <v>WOD</v>
          </cell>
          <cell r="D770">
            <v>8.5743737811904062</v>
          </cell>
          <cell r="E770">
            <v>9.4137715249378733</v>
          </cell>
          <cell r="F770">
            <v>9.5310150654032029</v>
          </cell>
          <cell r="G770">
            <v>9.6986795756729638</v>
          </cell>
          <cell r="H770">
            <v>8.440608409236372</v>
          </cell>
          <cell r="I770">
            <v>7.465139482230243</v>
          </cell>
        </row>
        <row r="771">
          <cell r="A771" t="str">
            <v>D-RSH2R</v>
          </cell>
          <cell r="B771" t="str">
            <v>VAR_ncap</v>
          </cell>
          <cell r="C771" t="str">
            <v>-</v>
          </cell>
          <cell r="G771">
            <v>8.2683492685793196E-8</v>
          </cell>
          <cell r="H771">
            <v>1.03295696995515E-7</v>
          </cell>
          <cell r="I771">
            <v>8.3467610529518906E-8</v>
          </cell>
        </row>
        <row r="772">
          <cell r="A772" t="str">
            <v>D-RSH2R</v>
          </cell>
          <cell r="B772" t="str">
            <v>VAR_cap</v>
          </cell>
          <cell r="C772" t="str">
            <v>-</v>
          </cell>
          <cell r="G772">
            <v>8.2683492685793196E-8</v>
          </cell>
          <cell r="H772">
            <v>1.35806218757275E-7</v>
          </cell>
          <cell r="I772">
            <v>1.18848581447749E-7</v>
          </cell>
        </row>
        <row r="773">
          <cell r="A773" t="str">
            <v>SCOM-SHLTHCHPBIO</v>
          </cell>
          <cell r="B773" t="str">
            <v>VAR_fout</v>
          </cell>
          <cell r="C773" t="str">
            <v>SCOM-SHLTHC-BIO</v>
          </cell>
          <cell r="D773">
            <v>1.4100706517053994</v>
          </cell>
          <cell r="E773">
            <v>1.5273741729685391</v>
          </cell>
        </row>
        <row r="774">
          <cell r="A774" t="str">
            <v>SCOM-SHLTHCHPBIO</v>
          </cell>
          <cell r="B774" t="str">
            <v>VAR_fin</v>
          </cell>
          <cell r="C774" t="str">
            <v>SCOM_LTH_CHPBIO_ON</v>
          </cell>
          <cell r="D774">
            <v>1.4243137896014137</v>
          </cell>
          <cell r="E774">
            <v>1.5428021949177149</v>
          </cell>
        </row>
        <row r="775">
          <cell r="A775" t="str">
            <v>SCOM-SHLTHCHPBIO</v>
          </cell>
          <cell r="B775" t="str">
            <v>VAR_fin</v>
          </cell>
          <cell r="C775" t="str">
            <v>SCOMLTHCHPC</v>
          </cell>
          <cell r="D775">
            <v>1.4100706517053994</v>
          </cell>
          <cell r="E775">
            <v>1.5273741729685391</v>
          </cell>
        </row>
        <row r="776">
          <cell r="A776" t="str">
            <v>SCOM-SHLTHCHPBIO</v>
          </cell>
          <cell r="B776" t="str">
            <v>VAR_ncap</v>
          </cell>
          <cell r="C776" t="str">
            <v>-</v>
          </cell>
          <cell r="D776">
            <v>3.0430002328790102E-7</v>
          </cell>
          <cell r="E776">
            <v>3.27551670752287E-2</v>
          </cell>
          <cell r="F776">
            <v>3.1889762659099603E-2</v>
          </cell>
          <cell r="G776">
            <v>2.6709690525260101E-2</v>
          </cell>
          <cell r="H776">
            <v>3.3539067879307299E-2</v>
          </cell>
          <cell r="I776">
            <v>5.0707688276249899E-2</v>
          </cell>
        </row>
        <row r="777">
          <cell r="A777" t="str">
            <v>SCOM-SHLTHCHPBIO</v>
          </cell>
          <cell r="B777" t="str">
            <v>VAR_cap</v>
          </cell>
          <cell r="C777" t="str">
            <v>-</v>
          </cell>
          <cell r="D777">
            <v>0.10913999187906229</v>
          </cell>
          <cell r="E777">
            <v>0.1209409179502722</v>
          </cell>
          <cell r="F777">
            <v>9.4620390327852313E-2</v>
          </cell>
          <cell r="G777">
            <v>8.2275724840125797E-2</v>
          </cell>
          <cell r="H777">
            <v>7.7079086596246404E-2</v>
          </cell>
          <cell r="I777">
            <v>7.7079189766647099E-2</v>
          </cell>
        </row>
        <row r="778">
          <cell r="A778" t="str">
            <v>RHES-SHNGABR</v>
          </cell>
          <cell r="B778" t="str">
            <v>VAR_fout</v>
          </cell>
          <cell r="C778" t="str">
            <v>CO2_R</v>
          </cell>
          <cell r="D778">
            <v>1043.1356026696301</v>
          </cell>
          <cell r="E778">
            <v>1118.2894853523401</v>
          </cell>
          <cell r="F778">
            <v>666.29867158091997</v>
          </cell>
          <cell r="G778">
            <v>548.39814733404501</v>
          </cell>
          <cell r="H778">
            <v>319.23589127986003</v>
          </cell>
          <cell r="I778">
            <v>149.43776685308799</v>
          </cell>
        </row>
        <row r="779">
          <cell r="A779" t="str">
            <v>RHES-SHNGABR</v>
          </cell>
          <cell r="B779" t="str">
            <v>VAR_fout</v>
          </cell>
          <cell r="C779" t="str">
            <v>RHES-SHNGA</v>
          </cell>
          <cell r="D779">
            <v>17.570546498867895</v>
          </cell>
          <cell r="E779">
            <v>18.836436366750462</v>
          </cell>
          <cell r="F779">
            <v>10.845207642207502</v>
          </cell>
          <cell r="G779">
            <v>8.9896437192308376</v>
          </cell>
          <cell r="H779">
            <v>5.296988180033285</v>
          </cell>
          <cell r="I779">
            <v>2.5103849102434408</v>
          </cell>
        </row>
        <row r="780">
          <cell r="A780" t="str">
            <v>RHES-SHNGABR</v>
          </cell>
          <cell r="B780" t="str">
            <v>VAR_fin</v>
          </cell>
          <cell r="C780" t="str">
            <v>RNGA</v>
          </cell>
          <cell r="D780">
            <v>18.49531210407147</v>
          </cell>
          <cell r="E780">
            <v>19.827827754474168</v>
          </cell>
          <cell r="F780">
            <v>11.813806233704238</v>
          </cell>
          <cell r="G780">
            <v>9.7233714066320012</v>
          </cell>
          <cell r="H780">
            <v>5.6602108382953915</v>
          </cell>
          <cell r="I780">
            <v>2.649605795267524</v>
          </cell>
        </row>
        <row r="781">
          <cell r="A781" t="str">
            <v>RHES-SHNGABR</v>
          </cell>
          <cell r="B781" t="str">
            <v>VAR_ncap</v>
          </cell>
          <cell r="C781" t="str">
            <v>-</v>
          </cell>
          <cell r="E781">
            <v>9.9843053447639704E-2</v>
          </cell>
          <cell r="F781">
            <v>8.2498727621872206E-8</v>
          </cell>
          <cell r="G781">
            <v>1.85437058546381E-7</v>
          </cell>
          <cell r="H781">
            <v>0.28252171888010102</v>
          </cell>
          <cell r="I781">
            <v>1.3078862518820401E-7</v>
          </cell>
        </row>
        <row r="782">
          <cell r="A782" t="str">
            <v>RHES-SHNGABR</v>
          </cell>
          <cell r="B782" t="str">
            <v>VAR_cap</v>
          </cell>
          <cell r="C782" t="str">
            <v>-</v>
          </cell>
          <cell r="D782">
            <v>1.4219190615860799</v>
          </cell>
          <cell r="E782">
            <v>1.5217620596076107</v>
          </cell>
          <cell r="F782">
            <v>1.5216905128502305</v>
          </cell>
          <cell r="G782">
            <v>1.5216800337948824</v>
          </cell>
          <cell r="H782">
            <v>0.42794823487278338</v>
          </cell>
          <cell r="I782">
            <v>0.2665380772540466</v>
          </cell>
        </row>
        <row r="783">
          <cell r="A783" t="str">
            <v>RHSA-WHNGABR</v>
          </cell>
          <cell r="B783" t="str">
            <v>VAR_fout</v>
          </cell>
          <cell r="C783" t="str">
            <v>RHSA-WHNGA</v>
          </cell>
          <cell r="D783">
            <v>6.3804613165361781</v>
          </cell>
          <cell r="E783">
            <v>5.5412265338927531</v>
          </cell>
          <cell r="F783">
            <v>5.4364686438727041</v>
          </cell>
          <cell r="G783">
            <v>4.4623354994461168</v>
          </cell>
          <cell r="H783">
            <v>3.08300090273557</v>
          </cell>
          <cell r="I783">
            <v>2.0069205809914132</v>
          </cell>
        </row>
        <row r="784">
          <cell r="A784" t="str">
            <v>RHSA-WHNGABR</v>
          </cell>
          <cell r="B784" t="str">
            <v>VAR_fout</v>
          </cell>
          <cell r="C784" t="str">
            <v>CO2_R</v>
          </cell>
          <cell r="D784">
            <v>479.81069100352101</v>
          </cell>
          <cell r="E784">
            <v>414.489624020625</v>
          </cell>
          <cell r="F784">
            <v>577.53469854795503</v>
          </cell>
          <cell r="G784">
            <v>456.666135688662</v>
          </cell>
          <cell r="H784">
            <v>304.525877491664</v>
          </cell>
          <cell r="I784">
            <v>192.094150782431</v>
          </cell>
        </row>
        <row r="785">
          <cell r="A785" t="str">
            <v>RHSA-WHNGABR</v>
          </cell>
          <cell r="B785" t="str">
            <v>VAR_fin</v>
          </cell>
          <cell r="C785" t="str">
            <v>RNGA</v>
          </cell>
          <cell r="D785">
            <v>8.5072817553815749</v>
          </cell>
          <cell r="E785">
            <v>7.3491068088763294</v>
          </cell>
          <cell r="F785">
            <v>10.239976924609129</v>
          </cell>
          <cell r="G785">
            <v>8.0969172994443603</v>
          </cell>
          <cell r="H785">
            <v>5.3993949909869592</v>
          </cell>
          <cell r="I785">
            <v>3.4059246592629644</v>
          </cell>
        </row>
        <row r="786">
          <cell r="A786" t="str">
            <v>RHSA-WHNGABR</v>
          </cell>
          <cell r="B786" t="str">
            <v>VAR_ncap</v>
          </cell>
          <cell r="C786" t="str">
            <v>-</v>
          </cell>
          <cell r="E786">
            <v>1.9963027095373E-7</v>
          </cell>
          <cell r="F786">
            <v>2.2013650447482299E-7</v>
          </cell>
          <cell r="G786">
            <v>2.4614730712136298E-7</v>
          </cell>
          <cell r="H786">
            <v>7.8381181855194298E-2</v>
          </cell>
          <cell r="I786">
            <v>2.4056035081523298E-2</v>
          </cell>
        </row>
        <row r="787">
          <cell r="A787" t="str">
            <v>RHSA-WHNGABR</v>
          </cell>
          <cell r="B787" t="str">
            <v>VAR_cap</v>
          </cell>
          <cell r="C787" t="str">
            <v>-</v>
          </cell>
          <cell r="D787">
            <v>0.43610075802020798</v>
          </cell>
          <cell r="E787">
            <v>0.43609666966820659</v>
          </cell>
          <cell r="F787">
            <v>0.43609136714046415</v>
          </cell>
          <cell r="G787">
            <v>0.43608951305305893</v>
          </cell>
          <cell r="H787">
            <v>0.21614704958170861</v>
          </cell>
          <cell r="I787">
            <v>0.13921402447910552</v>
          </cell>
        </row>
        <row r="788">
          <cell r="A788" t="str">
            <v>ITOT-SWHWSTBR</v>
          </cell>
          <cell r="B788" t="str">
            <v>VAR_fout</v>
          </cell>
          <cell r="C788" t="str">
            <v>ITOT-SWH</v>
          </cell>
          <cell r="D788">
            <v>4.1173783952559697</v>
          </cell>
          <cell r="E788">
            <v>4.2663399337971022</v>
          </cell>
          <cell r="F788">
            <v>2.9612165212960986</v>
          </cell>
          <cell r="G788">
            <v>2.9281336413463306</v>
          </cell>
          <cell r="H788">
            <v>2.8804317025025856</v>
          </cell>
          <cell r="I788">
            <v>2.9376324216992522</v>
          </cell>
        </row>
        <row r="789">
          <cell r="A789" t="str">
            <v>ITOT-SWHWSTBR</v>
          </cell>
          <cell r="B789" t="str">
            <v>VAR_fout</v>
          </cell>
          <cell r="C789" t="str">
            <v>CO2_I</v>
          </cell>
          <cell r="D789">
            <v>723.66044522680602</v>
          </cell>
          <cell r="E789">
            <v>749.84156412191601</v>
          </cell>
          <cell r="F789">
            <v>520.45623707628397</v>
          </cell>
          <cell r="G789">
            <v>514.64167029723399</v>
          </cell>
          <cell r="H789">
            <v>506.25769316712098</v>
          </cell>
          <cell r="I789">
            <v>501.125530760461</v>
          </cell>
        </row>
        <row r="790">
          <cell r="A790" t="str">
            <v>ITOT-SWHWSTBR</v>
          </cell>
          <cell r="B790" t="str">
            <v>VAR_fin</v>
          </cell>
          <cell r="C790" t="str">
            <v>IWST</v>
          </cell>
          <cell r="D790">
            <v>7.7980651425302456</v>
          </cell>
          <cell r="E790">
            <v>8.0801892685551167</v>
          </cell>
          <cell r="F790">
            <v>5.6083646236668514</v>
          </cell>
          <cell r="G790">
            <v>5.5457076540650121</v>
          </cell>
          <cell r="H790">
            <v>5.4553630729215659</v>
          </cell>
          <cell r="I790">
            <v>5.4000595987118611</v>
          </cell>
        </row>
        <row r="791">
          <cell r="A791" t="str">
            <v>ITOT-SWHWSTBR</v>
          </cell>
          <cell r="B791" t="str">
            <v>VAR_ncap</v>
          </cell>
          <cell r="C791" t="str">
            <v>-</v>
          </cell>
          <cell r="E791">
            <v>3.0273683449280999E-6</v>
          </cell>
          <cell r="F791">
            <v>2.5987394680328499E-6</v>
          </cell>
          <cell r="G791">
            <v>6.8734741935610096E-6</v>
          </cell>
          <cell r="H791">
            <v>8.4766555825455905E-2</v>
          </cell>
          <cell r="I791">
            <v>8.3148036121294497E-2</v>
          </cell>
        </row>
        <row r="792">
          <cell r="A792" t="str">
            <v>ITOT-SWHWSTBR</v>
          </cell>
          <cell r="B792" t="str">
            <v>VAR_cap</v>
          </cell>
          <cell r="C792" t="str">
            <v>-</v>
          </cell>
          <cell r="D792">
            <v>0.35954682816669398</v>
          </cell>
          <cell r="E792">
            <v>0.32139762013181333</v>
          </cell>
          <cell r="F792">
            <v>0.31705050731130324</v>
          </cell>
          <cell r="G792">
            <v>0.31698614797337427</v>
          </cell>
          <cell r="H792">
            <v>0.16832240755580602</v>
          </cell>
          <cell r="I792">
            <v>0.1800021052543003</v>
          </cell>
        </row>
        <row r="793">
          <cell r="A793" t="str">
            <v>SCOM-SHSTG-ELC</v>
          </cell>
          <cell r="B793" t="str">
            <v>VAR_fout</v>
          </cell>
          <cell r="C793" t="str">
            <v>SCOM-SHAELCB</v>
          </cell>
          <cell r="D793">
            <v>3.7796372444537568E-5</v>
          </cell>
          <cell r="E793">
            <v>1.0595558505014175E-4</v>
          </cell>
          <cell r="F793">
            <v>7.8312987188149875E-5</v>
          </cell>
          <cell r="G793">
            <v>3.6128777418277089E-5</v>
          </cell>
          <cell r="H793">
            <v>2.6552130908722751E-5</v>
          </cell>
          <cell r="I793">
            <v>5.1593917086820818E-6</v>
          </cell>
        </row>
        <row r="794">
          <cell r="A794" t="str">
            <v>SCOM-SHSTG-ELC</v>
          </cell>
          <cell r="B794" t="str">
            <v>VAR_fin</v>
          </cell>
          <cell r="C794" t="str">
            <v>SCOM-SHAELCB</v>
          </cell>
          <cell r="D794">
            <v>3.1807692583493955E-5</v>
          </cell>
          <cell r="E794">
            <v>1.3539301395921024E-4</v>
          </cell>
          <cell r="F794">
            <v>9.2095619427510808E-5</v>
          </cell>
          <cell r="G794">
            <v>4.299739042066642E-5</v>
          </cell>
          <cell r="H794">
            <v>2.9343964948985333E-5</v>
          </cell>
          <cell r="I794">
            <v>2.8044020006879172E-6</v>
          </cell>
        </row>
        <row r="795">
          <cell r="A795" t="str">
            <v>SCOM-SHSTG-ELC</v>
          </cell>
          <cell r="B795" t="str">
            <v>VAR_ncap</v>
          </cell>
          <cell r="C795" t="str">
            <v>-</v>
          </cell>
          <cell r="D795">
            <v>9.1811789703007806E-3</v>
          </cell>
          <cell r="E795">
            <v>7.8549990768304202E-3</v>
          </cell>
          <cell r="F795">
            <v>1.03201402861605E-5</v>
          </cell>
          <cell r="G795">
            <v>1.8642455310173101E-5</v>
          </cell>
          <cell r="H795">
            <v>6.6418875876037399E-3</v>
          </cell>
          <cell r="I795">
            <v>5.2695640103755397E-5</v>
          </cell>
        </row>
        <row r="796">
          <cell r="A796" t="str">
            <v>SCOM-SHSTG-ELC</v>
          </cell>
          <cell r="B796" t="str">
            <v>VAR_cap</v>
          </cell>
          <cell r="C796" t="str">
            <v>-</v>
          </cell>
          <cell r="D796">
            <v>9.1811789703007806E-3</v>
          </cell>
          <cell r="E796">
            <v>1.6999162295999768E-2</v>
          </cell>
          <cell r="F796">
            <v>1.6313776727728522E-2</v>
          </cell>
          <cell r="G796">
            <v>1.0919944109734289E-2</v>
          </cell>
          <cell r="H796">
            <v>8.1574116994689565E-3</v>
          </cell>
          <cell r="I796">
            <v>4.8993207575461504E-3</v>
          </cell>
        </row>
        <row r="797">
          <cell r="A797" t="str">
            <v>SCOM-SHNGABR</v>
          </cell>
          <cell r="B797" t="str">
            <v>VAR_fout</v>
          </cell>
          <cell r="C797" t="str">
            <v>CO2_S</v>
          </cell>
          <cell r="D797">
            <v>1440.94612982382</v>
          </cell>
          <cell r="E797">
            <v>1508.68781278809</v>
          </cell>
          <cell r="F797">
            <v>1364.6349947736701</v>
          </cell>
          <cell r="G797">
            <v>1188.27827980044</v>
          </cell>
          <cell r="H797">
            <v>809.19559450058102</v>
          </cell>
          <cell r="I797">
            <v>484.05033799163402</v>
          </cell>
        </row>
        <row r="798">
          <cell r="A798" t="str">
            <v>SCOM-SHNGABR</v>
          </cell>
          <cell r="B798" t="str">
            <v>VAR_fout</v>
          </cell>
          <cell r="C798" t="str">
            <v>SCOM-SHNGA</v>
          </cell>
          <cell r="D798">
            <v>24.189717359725375</v>
          </cell>
          <cell r="E798">
            <v>25.326923068156745</v>
          </cell>
          <cell r="F798">
            <v>20.706932059583416</v>
          </cell>
          <cell r="G798">
            <v>18.202984929806597</v>
          </cell>
          <cell r="H798">
            <v>12.419123526409546</v>
          </cell>
          <cell r="I798">
            <v>7.4289590568378658</v>
          </cell>
        </row>
        <row r="799">
          <cell r="A799" t="str">
            <v>SCOM-SHNGABR</v>
          </cell>
          <cell r="B799" t="str">
            <v>VAR_fin</v>
          </cell>
          <cell r="C799" t="str">
            <v>SNGA</v>
          </cell>
          <cell r="D799">
            <v>25.548690245103199</v>
          </cell>
          <cell r="E799">
            <v>26.749783914682386</v>
          </cell>
          <cell r="F799">
            <v>24.195655935703311</v>
          </cell>
          <cell r="G799">
            <v>21.068763826248968</v>
          </cell>
          <cell r="H799">
            <v>14.347439618804623</v>
          </cell>
          <cell r="I799">
            <v>8.5824528012701116</v>
          </cell>
        </row>
        <row r="800">
          <cell r="A800" t="str">
            <v>SCOM-SHNGABR</v>
          </cell>
          <cell r="B800" t="str">
            <v>VAR_ncap</v>
          </cell>
          <cell r="C800" t="str">
            <v>-</v>
          </cell>
          <cell r="D800">
            <v>1.62367617809229E-7</v>
          </cell>
          <cell r="E800">
            <v>5.03541576782154E-7</v>
          </cell>
          <cell r="F800">
            <v>4.5538114196217702E-7</v>
          </cell>
          <cell r="G800">
            <v>7.7698399078114996E-7</v>
          </cell>
          <cell r="H800">
            <v>0.61702780527987999</v>
          </cell>
          <cell r="I800">
            <v>0.14246995346461</v>
          </cell>
        </row>
        <row r="801">
          <cell r="A801" t="str">
            <v>SCOM-SHNGABR</v>
          </cell>
          <cell r="B801" t="str">
            <v>VAR_cap</v>
          </cell>
          <cell r="C801" t="str">
            <v>-</v>
          </cell>
          <cell r="D801">
            <v>2.7746816602428379</v>
          </cell>
          <cell r="E801">
            <v>2.7746231515035729</v>
          </cell>
          <cell r="F801">
            <v>2.7745750507560532</v>
          </cell>
          <cell r="G801">
            <v>2.7745613696321438</v>
          </cell>
          <cell r="H801">
            <v>1.1590078236111967</v>
          </cell>
          <cell r="I801">
            <v>0.81952165820507117</v>
          </cell>
        </row>
        <row r="802">
          <cell r="A802" t="str">
            <v>RHEM-SHELCHP</v>
          </cell>
          <cell r="B802" t="str">
            <v>VAR_fout</v>
          </cell>
          <cell r="C802" t="str">
            <v>RHEM-SHAELCH</v>
          </cell>
          <cell r="D802">
            <v>9.9025608209037994</v>
          </cell>
          <cell r="E802">
            <v>11.655219506654534</v>
          </cell>
          <cell r="F802">
            <v>9.5870927261629575</v>
          </cell>
          <cell r="G802">
            <v>13.090121442615764</v>
          </cell>
          <cell r="H802">
            <v>17.081779434156836</v>
          </cell>
          <cell r="I802">
            <v>20.914094340579283</v>
          </cell>
        </row>
        <row r="803">
          <cell r="A803" t="str">
            <v>RHEM-SHELCHP</v>
          </cell>
          <cell r="B803" t="str">
            <v>VAR_fin</v>
          </cell>
          <cell r="C803" t="str">
            <v>RHEMELCHPC</v>
          </cell>
          <cell r="D803">
            <v>9.9025608209037994</v>
          </cell>
          <cell r="E803">
            <v>11.655219506654534</v>
          </cell>
          <cell r="F803">
            <v>9.5870927261629575</v>
          </cell>
          <cell r="G803">
            <v>13.090121442615764</v>
          </cell>
          <cell r="H803">
            <v>17.081779434156836</v>
          </cell>
          <cell r="I803">
            <v>20.914094340579283</v>
          </cell>
        </row>
        <row r="804">
          <cell r="A804" t="str">
            <v>RHEM-SHELCHP</v>
          </cell>
          <cell r="B804" t="str">
            <v>VAR_fin</v>
          </cell>
          <cell r="C804" t="str">
            <v>RHEM_ELC</v>
          </cell>
          <cell r="D804">
            <v>3.0945502565324379</v>
          </cell>
          <cell r="E804">
            <v>3.5825469795044702</v>
          </cell>
          <cell r="F804">
            <v>3.0877513168013677</v>
          </cell>
          <cell r="G804">
            <v>3.9655215157561408</v>
          </cell>
          <cell r="H804">
            <v>4.8038915043682593</v>
          </cell>
          <cell r="I804">
            <v>5.4222113481632928</v>
          </cell>
        </row>
        <row r="805">
          <cell r="A805" t="str">
            <v>RHEM-SHELCHP</v>
          </cell>
          <cell r="B805" t="str">
            <v>VAR_ncap</v>
          </cell>
          <cell r="C805" t="str">
            <v>-</v>
          </cell>
          <cell r="D805">
            <v>4.80793321828145E-7</v>
          </cell>
          <cell r="E805">
            <v>0.123762005190915</v>
          </cell>
          <cell r="F805">
            <v>2.4507677710561397E-7</v>
          </cell>
          <cell r="G805">
            <v>0.101349827839576</v>
          </cell>
          <cell r="H805">
            <v>0.40653260980103501</v>
          </cell>
          <cell r="I805">
            <v>0.87280713018568401</v>
          </cell>
        </row>
        <row r="806">
          <cell r="A806" t="str">
            <v>RHEM-SHELCHP</v>
          </cell>
          <cell r="B806" t="str">
            <v>VAR_cap</v>
          </cell>
          <cell r="C806" t="str">
            <v>-</v>
          </cell>
          <cell r="D806">
            <v>0.69925243118532088</v>
          </cell>
          <cell r="E806">
            <v>0.82301438323814124</v>
          </cell>
          <cell r="F806">
            <v>0.82301289275856349</v>
          </cell>
          <cell r="G806">
            <v>0.92436402570662379</v>
          </cell>
          <cell r="H806">
            <v>1.206225534063214</v>
          </cell>
          <cell r="I806">
            <v>1.4768273574905246</v>
          </cell>
        </row>
        <row r="807">
          <cell r="A807" t="str">
            <v>RHNM-SHSTG-ELC</v>
          </cell>
          <cell r="B807" t="str">
            <v>VAR_fout</v>
          </cell>
          <cell r="C807" t="str">
            <v>RHNM-SHAELCB</v>
          </cell>
          <cell r="E807">
            <v>2.5290657961632818E-6</v>
          </cell>
          <cell r="F807">
            <v>2.0945915160494279E-4</v>
          </cell>
          <cell r="G807">
            <v>1.2378299331287383E-3</v>
          </cell>
          <cell r="H807">
            <v>1.151488249570079E-3</v>
          </cell>
          <cell r="I807">
            <v>8.8842542353971229E-4</v>
          </cell>
        </row>
        <row r="808">
          <cell r="A808" t="str">
            <v>RHNM-SHSTG-ELC</v>
          </cell>
          <cell r="B808" t="str">
            <v>VAR_fin</v>
          </cell>
          <cell r="C808" t="str">
            <v>RHNM-SHAELCB</v>
          </cell>
          <cell r="E808">
            <v>2.1563115548388783E-6</v>
          </cell>
          <cell r="F808">
            <v>2.0417860728297614E-4</v>
          </cell>
          <cell r="G808">
            <v>1.2335794474907669E-3</v>
          </cell>
          <cell r="H808">
            <v>1.1512675077536146E-3</v>
          </cell>
          <cell r="I808">
            <v>8.9299095629715981E-4</v>
          </cell>
        </row>
        <row r="809">
          <cell r="A809" t="str">
            <v>RHNM-SHSTG-ELC</v>
          </cell>
          <cell r="B809" t="str">
            <v>VAR_ncap</v>
          </cell>
          <cell r="C809" t="str">
            <v>-</v>
          </cell>
          <cell r="D809">
            <v>1.39882886621581E-4</v>
          </cell>
          <cell r="E809">
            <v>2.6551444517139999E-3</v>
          </cell>
          <cell r="F809">
            <v>4.8784891022510798E-5</v>
          </cell>
          <cell r="G809">
            <v>4.0408541349545103E-5</v>
          </cell>
          <cell r="H809">
            <v>3.90044104649648E-5</v>
          </cell>
          <cell r="I809">
            <v>3.4522932956985402E-5</v>
          </cell>
        </row>
        <row r="810">
          <cell r="A810" t="str">
            <v>RHNM-SHSTG-ELC</v>
          </cell>
          <cell r="B810" t="str">
            <v>VAR_cap</v>
          </cell>
          <cell r="C810" t="str">
            <v>-</v>
          </cell>
          <cell r="D810">
            <v>1.39882886621581E-4</v>
          </cell>
          <cell r="E810">
            <v>2.7880629496791708E-3</v>
          </cell>
          <cell r="F810">
            <v>2.4947253398173641E-3</v>
          </cell>
          <cell r="G810">
            <v>1.8147131669718299E-3</v>
          </cell>
          <cell r="H810">
            <v>3.8231246615041367E-4</v>
          </cell>
          <cell r="I810">
            <v>1.6173926742600139E-4</v>
          </cell>
        </row>
        <row r="811">
          <cell r="A811" t="str">
            <v>D-RWOD</v>
          </cell>
          <cell r="B811" t="str">
            <v>VAR_fout</v>
          </cell>
          <cell r="C811" t="str">
            <v>RWOD</v>
          </cell>
          <cell r="D811">
            <v>13.723039856820733</v>
          </cell>
          <cell r="E811">
            <v>13.964828468095648</v>
          </cell>
          <cell r="F811">
            <v>17.147548384431573</v>
          </cell>
          <cell r="G811">
            <v>16.252039697148742</v>
          </cell>
          <cell r="H811">
            <v>13.655955790875737</v>
          </cell>
          <cell r="I811">
            <v>11.300278440604925</v>
          </cell>
        </row>
        <row r="812">
          <cell r="A812" t="str">
            <v>D-RWOD</v>
          </cell>
          <cell r="B812" t="str">
            <v>VAR_fin</v>
          </cell>
          <cell r="C812" t="str">
            <v>WOD</v>
          </cell>
          <cell r="D812">
            <v>13.723039856820733</v>
          </cell>
          <cell r="E812">
            <v>13.964828468095648</v>
          </cell>
          <cell r="F812">
            <v>17.147548384431573</v>
          </cell>
          <cell r="G812">
            <v>16.252039697148742</v>
          </cell>
          <cell r="H812">
            <v>13.655955790875737</v>
          </cell>
          <cell r="I812">
            <v>11.300278440604925</v>
          </cell>
        </row>
        <row r="813">
          <cell r="A813" t="str">
            <v>RHNS-SHLTHCHPWOD</v>
          </cell>
          <cell r="B813" t="str">
            <v>VAR_ncap</v>
          </cell>
          <cell r="C813" t="str">
            <v>-</v>
          </cell>
          <cell r="G813">
            <v>8.4949825566788003E-5</v>
          </cell>
          <cell r="H813">
            <v>6.0055579562370399E-5</v>
          </cell>
          <cell r="I813">
            <v>3.3253606210604103E-5</v>
          </cell>
        </row>
        <row r="814">
          <cell r="A814" t="str">
            <v>RHNS-SHLTHCHPWOD</v>
          </cell>
          <cell r="B814" t="str">
            <v>VAR_cap</v>
          </cell>
          <cell r="C814" t="str">
            <v>-</v>
          </cell>
          <cell r="G814">
            <v>8.4949825566788003E-5</v>
          </cell>
          <cell r="H814">
            <v>1.0623260854736779E-4</v>
          </cell>
          <cell r="I814">
            <v>5.53541041602716E-5</v>
          </cell>
        </row>
        <row r="815">
          <cell r="A815" t="str">
            <v>RHNM-SHELCBR</v>
          </cell>
          <cell r="B815" t="str">
            <v>VAR_fout</v>
          </cell>
          <cell r="C815" t="str">
            <v>RHNM-SHAELCB</v>
          </cell>
          <cell r="E815">
            <v>0.15439456921347688</v>
          </cell>
          <cell r="F815">
            <v>1.3441864718469593E-3</v>
          </cell>
          <cell r="G815">
            <v>3.8141514486939952E-3</v>
          </cell>
          <cell r="H815">
            <v>5.9034028598566116E-3</v>
          </cell>
          <cell r="I815">
            <v>7.3791203909041167E-3</v>
          </cell>
        </row>
        <row r="816">
          <cell r="A816" t="str">
            <v>RHNM-SHELCBR</v>
          </cell>
          <cell r="B816" t="str">
            <v>VAR_fin</v>
          </cell>
          <cell r="C816" t="str">
            <v>RHNM_ELC</v>
          </cell>
          <cell r="E816">
            <v>0.16252059917208109</v>
          </cell>
          <cell r="F816">
            <v>1.4149331282599579E-3</v>
          </cell>
          <cell r="G816">
            <v>4.0148962617831503E-3</v>
          </cell>
          <cell r="H816">
            <v>6.2141082735332762E-3</v>
          </cell>
          <cell r="I816">
            <v>7.7674951483201228E-3</v>
          </cell>
        </row>
        <row r="817">
          <cell r="A817" t="str">
            <v>RHNM-SHELCBR</v>
          </cell>
          <cell r="B817" t="str">
            <v>VAR_ncap</v>
          </cell>
          <cell r="C817" t="str">
            <v>-</v>
          </cell>
          <cell r="E817">
            <v>1.20964698655064E-2</v>
          </cell>
        </row>
        <row r="818">
          <cell r="A818" t="str">
            <v>RHNM-SHELCBR</v>
          </cell>
          <cell r="B818" t="str">
            <v>VAR_cap</v>
          </cell>
          <cell r="C818" t="str">
            <v>-</v>
          </cell>
          <cell r="E818">
            <v>1.20964698655064E-2</v>
          </cell>
          <cell r="F818">
            <v>1.0599449138448239E-2</v>
          </cell>
          <cell r="G818">
            <v>7.7093453459193993E-3</v>
          </cell>
          <cell r="H818">
            <v>1.6222420269160257E-3</v>
          </cell>
          <cell r="I818">
            <v>6.8584596142635642E-4</v>
          </cell>
        </row>
        <row r="819">
          <cell r="A819" t="str">
            <v>RHNS-SHSTG-NGAHP</v>
          </cell>
          <cell r="B819" t="str">
            <v>VAR_fout</v>
          </cell>
          <cell r="C819" t="str">
            <v>RHNS-SHANGAH</v>
          </cell>
          <cell r="F819">
            <v>7.4790350994270787E-3</v>
          </cell>
          <cell r="G819">
            <v>2.6526406946572888E-2</v>
          </cell>
          <cell r="H819">
            <v>4.8029039475477917E-2</v>
          </cell>
          <cell r="I819">
            <v>9.6548458701516141E-2</v>
          </cell>
        </row>
        <row r="820">
          <cell r="A820" t="str">
            <v>RHNS-SHSTG-NGAHP</v>
          </cell>
          <cell r="B820" t="str">
            <v>VAR_fin</v>
          </cell>
          <cell r="C820" t="str">
            <v>RHNS-SHANGAH</v>
          </cell>
          <cell r="F820">
            <v>7.5203931603682744E-3</v>
          </cell>
          <cell r="G820">
            <v>2.656982347411297E-2</v>
          </cell>
          <cell r="H820">
            <v>4.806059923903179E-2</v>
          </cell>
          <cell r="I820">
            <v>9.6585331790656898E-2</v>
          </cell>
        </row>
        <row r="821">
          <cell r="A821" t="str">
            <v>RHNS-SHSTG-NGAHP</v>
          </cell>
          <cell r="B821" t="str">
            <v>VAR_ncap</v>
          </cell>
          <cell r="C821" t="str">
            <v>-</v>
          </cell>
          <cell r="D821">
            <v>6.9737064784852396E-6</v>
          </cell>
          <cell r="E821">
            <v>9.3104655582366702E-6</v>
          </cell>
          <cell r="F821">
            <v>2.1628308618872002E-3</v>
          </cell>
          <cell r="G821">
            <v>4.83651862146615E-3</v>
          </cell>
          <cell r="H821">
            <v>5.8884413689595499E-3</v>
          </cell>
          <cell r="I821">
            <v>1.13100161448287E-2</v>
          </cell>
        </row>
        <row r="822">
          <cell r="A822" t="str">
            <v>RHNS-SHSTG-NGAHP</v>
          </cell>
          <cell r="B822" t="str">
            <v>VAR_cap</v>
          </cell>
          <cell r="C822" t="str">
            <v>-</v>
          </cell>
          <cell r="D822">
            <v>6.9737064784852396E-6</v>
          </cell>
          <cell r="E822">
            <v>7.9445544350760061E-7</v>
          </cell>
          <cell r="F822">
            <v>2.1584248555202813E-3</v>
          </cell>
          <cell r="G822">
            <v>6.9885880651343229E-3</v>
          </cell>
          <cell r="H822">
            <v>1.2638086820082399E-2</v>
          </cell>
          <cell r="I822">
            <v>1.6868434445546327E-2</v>
          </cell>
        </row>
        <row r="823">
          <cell r="A823" t="str">
            <v>RHNS-SHLTHDH</v>
          </cell>
          <cell r="B823" t="str">
            <v>VAR_fout</v>
          </cell>
          <cell r="C823" t="str">
            <v>RHNS-SHLTHD</v>
          </cell>
          <cell r="E823">
            <v>5.3982032321184661E-2</v>
          </cell>
          <cell r="F823">
            <v>4.0847568748333474E-3</v>
          </cell>
          <cell r="G823">
            <v>6.4514378809435967E-3</v>
          </cell>
          <cell r="H823">
            <v>1.0243188496974866E-2</v>
          </cell>
          <cell r="I823">
            <v>1.2687986906921906E-2</v>
          </cell>
        </row>
        <row r="824">
          <cell r="A824" t="str">
            <v>RHNS-SHLTHDH</v>
          </cell>
          <cell r="B824" t="str">
            <v>VAR_fin</v>
          </cell>
          <cell r="C824" t="str">
            <v>RHNS_LTH_DH</v>
          </cell>
          <cell r="E824">
            <v>5.4527305374933999E-2</v>
          </cell>
          <cell r="F824">
            <v>4.5180450414387232E-3</v>
          </cell>
          <cell r="G824">
            <v>7.121106754302658E-3</v>
          </cell>
          <cell r="H824">
            <v>1.1268314757990975E-2</v>
          </cell>
          <cell r="I824">
            <v>1.3955640530878452E-2</v>
          </cell>
        </row>
        <row r="825">
          <cell r="A825" t="str">
            <v>RHNS-SHLTHDH</v>
          </cell>
          <cell r="B825" t="str">
            <v>VAR_fin</v>
          </cell>
          <cell r="C825" t="str">
            <v>RHNSLTHDHC</v>
          </cell>
          <cell r="E825">
            <v>5.3982032321184661E-2</v>
          </cell>
          <cell r="F825">
            <v>4.0847568748333474E-3</v>
          </cell>
          <cell r="G825">
            <v>6.4514378809435967E-3</v>
          </cell>
          <cell r="H825">
            <v>1.0243188496974866E-2</v>
          </cell>
          <cell r="I825">
            <v>1.2687986906921906E-2</v>
          </cell>
        </row>
        <row r="826">
          <cell r="A826" t="str">
            <v>RHNS-SHLTHDH</v>
          </cell>
          <cell r="B826" t="str">
            <v>VAR_ncap</v>
          </cell>
          <cell r="C826" t="str">
            <v>-</v>
          </cell>
          <cell r="E826">
            <v>5.9120005117429203E-3</v>
          </cell>
          <cell r="F826">
            <v>1.1093930848748599E-2</v>
          </cell>
          <cell r="G826">
            <v>1.1270721023333201E-2</v>
          </cell>
          <cell r="H826">
            <v>1.7787210970367898E-2</v>
          </cell>
          <cell r="I826">
            <v>4.9568829545770104E-4</v>
          </cell>
        </row>
        <row r="827">
          <cell r="A827" t="str">
            <v>RHNS-SHLTHDH</v>
          </cell>
          <cell r="B827" t="str">
            <v>VAR_cap</v>
          </cell>
          <cell r="C827" t="str">
            <v>-</v>
          </cell>
          <cell r="E827">
            <v>5.9120005117429203E-3</v>
          </cell>
          <cell r="F827">
            <v>1.4887367178187481E-2</v>
          </cell>
          <cell r="G827">
            <v>1.968317093727677E-2</v>
          </cell>
          <cell r="H827">
            <v>3.9620416003436298E-2</v>
          </cell>
          <cell r="I827">
            <v>2.6620665254883935E-3</v>
          </cell>
        </row>
        <row r="828">
          <cell r="A828" t="str">
            <v>ITOT-SWHNGAHP</v>
          </cell>
          <cell r="B828" t="str">
            <v>VAR_fout</v>
          </cell>
          <cell r="C828" t="str">
            <v>ITOT-SWHANGAH</v>
          </cell>
          <cell r="F828">
            <v>8.8294139864048306E-3</v>
          </cell>
          <cell r="G828">
            <v>6.8473452043479911E-3</v>
          </cell>
          <cell r="H828">
            <v>2.8448468755811494E-2</v>
          </cell>
          <cell r="I828">
            <v>0.26699079492788069</v>
          </cell>
        </row>
        <row r="829">
          <cell r="A829" t="str">
            <v>ITOT-SWHNGAHP</v>
          </cell>
          <cell r="B829" t="str">
            <v>VAR_fout</v>
          </cell>
          <cell r="C829" t="str">
            <v>CO2_I</v>
          </cell>
          <cell r="F829">
            <v>0.26412039683208599</v>
          </cell>
          <cell r="G829">
            <v>0.200904284834728</v>
          </cell>
          <cell r="H829">
            <v>0.80388196294516001</v>
          </cell>
          <cell r="I829">
            <v>7.2759245432025397</v>
          </cell>
        </row>
        <row r="830">
          <cell r="A830" t="str">
            <v>ITOT-SWHNGAHP</v>
          </cell>
          <cell r="B830" t="str">
            <v>VAR_fin</v>
          </cell>
          <cell r="C830" t="str">
            <v>ITOTELCHPC</v>
          </cell>
          <cell r="F830">
            <v>8.8294139864048306E-3</v>
          </cell>
          <cell r="G830">
            <v>6.8473452043479911E-3</v>
          </cell>
          <cell r="H830">
            <v>2.8448468755811494E-2</v>
          </cell>
          <cell r="I830">
            <v>0.26699079492788069</v>
          </cell>
        </row>
        <row r="831">
          <cell r="A831" t="str">
            <v>ITOT-SWHNGAHP</v>
          </cell>
          <cell r="B831" t="str">
            <v>VAR_fin</v>
          </cell>
          <cell r="C831" t="str">
            <v>INGA</v>
          </cell>
          <cell r="F831">
            <v>4.6829857594341533E-3</v>
          </cell>
          <cell r="G831">
            <v>3.5621327098355974E-3</v>
          </cell>
          <cell r="H831">
            <v>1.4253226293353892E-2</v>
          </cell>
          <cell r="I831">
            <v>0.1290057543121019</v>
          </cell>
        </row>
        <row r="832">
          <cell r="A832" t="str">
            <v>ITOT-SWHNGAHP</v>
          </cell>
          <cell r="B832" t="str">
            <v>VAR_ncap</v>
          </cell>
          <cell r="C832" t="str">
            <v>-</v>
          </cell>
          <cell r="E832">
            <v>6.0212686250439302E-4</v>
          </cell>
          <cell r="F832">
            <v>4.2336507134447898E-6</v>
          </cell>
          <cell r="G832">
            <v>4.7935114497091396E-6</v>
          </cell>
          <cell r="H832">
            <v>1.14838361895942E-3</v>
          </cell>
          <cell r="I832">
            <v>1.35387224156141E-2</v>
          </cell>
        </row>
        <row r="833">
          <cell r="A833" t="str">
            <v>ITOT-SWHNGAHP</v>
          </cell>
          <cell r="B833" t="str">
            <v>VAR_cap</v>
          </cell>
          <cell r="C833" t="str">
            <v>-</v>
          </cell>
          <cell r="E833">
            <v>6.0212686250439302E-4</v>
          </cell>
          <cell r="F833">
            <v>6.0570769438004904E-4</v>
          </cell>
          <cell r="G833">
            <v>6.0963699090937191E-4</v>
          </cell>
          <cell r="H833">
            <v>1.6800431505032045E-3</v>
          </cell>
          <cell r="I833">
            <v>1.4594807463629169E-2</v>
          </cell>
        </row>
        <row r="834">
          <cell r="A834" t="str">
            <v>RHSA-WHLFOBR</v>
          </cell>
          <cell r="B834" t="str">
            <v>VAR_fout</v>
          </cell>
          <cell r="C834" t="str">
            <v>CO2_R</v>
          </cell>
          <cell r="D834">
            <v>726.71336855179004</v>
          </cell>
          <cell r="E834">
            <v>571.64642040648801</v>
          </cell>
          <cell r="F834">
            <v>675.41779904170596</v>
          </cell>
          <cell r="G834">
            <v>428.51900112382299</v>
          </cell>
          <cell r="H834">
            <v>236.15066388475699</v>
          </cell>
          <cell r="I834">
            <v>107.801284165768</v>
          </cell>
        </row>
        <row r="835">
          <cell r="A835" t="str">
            <v>RHSA-WHLFOBR</v>
          </cell>
          <cell r="B835" t="str">
            <v>VAR_fout</v>
          </cell>
          <cell r="C835" t="str">
            <v>RHSA-WHLFO</v>
          </cell>
          <cell r="D835">
            <v>6.9844681509387456</v>
          </cell>
          <cell r="E835">
            <v>5.5425916496897658</v>
          </cell>
          <cell r="F835">
            <v>4.617701443062149</v>
          </cell>
          <cell r="G835">
            <v>3.0589427916752618</v>
          </cell>
          <cell r="H835">
            <v>1.772011460936834</v>
          </cell>
          <cell r="I835">
            <v>0.83121567827876996</v>
          </cell>
        </row>
        <row r="836">
          <cell r="A836" t="str">
            <v>RHSA-WHLFOBR</v>
          </cell>
          <cell r="B836" t="str">
            <v>VAR_fin</v>
          </cell>
          <cell r="C836" t="str">
            <v>RLFO</v>
          </cell>
          <cell r="D836">
            <v>9.86042562485469</v>
          </cell>
          <cell r="E836">
            <v>7.7563964776999708</v>
          </cell>
          <cell r="F836">
            <v>9.1644206111493407</v>
          </cell>
          <cell r="G836">
            <v>5.814369079020663</v>
          </cell>
          <cell r="H836">
            <v>3.2042152494539629</v>
          </cell>
          <cell r="I836">
            <v>1.4627039913944113</v>
          </cell>
        </row>
        <row r="837">
          <cell r="A837" t="str">
            <v>RHSA-WHLFOBR</v>
          </cell>
          <cell r="B837" t="str">
            <v>VAR_ncap</v>
          </cell>
          <cell r="C837" t="str">
            <v>-</v>
          </cell>
          <cell r="E837">
            <v>1.3488149493128101E-7</v>
          </cell>
          <cell r="F837">
            <v>9.5589126070241799E-8</v>
          </cell>
          <cell r="G837">
            <v>1.7859868607371301E-7</v>
          </cell>
          <cell r="H837">
            <v>8.1450981473513206E-2</v>
          </cell>
        </row>
        <row r="838">
          <cell r="A838" t="str">
            <v>RHSA-WHLFOBR</v>
          </cell>
          <cell r="B838" t="str">
            <v>VAR_cap</v>
          </cell>
          <cell r="C838" t="str">
            <v>-</v>
          </cell>
          <cell r="D838">
            <v>0.47738433216181703</v>
          </cell>
          <cell r="E838">
            <v>0.4773809536633703</v>
          </cell>
          <cell r="F838">
            <v>0.4421615527000004</v>
          </cell>
          <cell r="G838">
            <v>0.44206054598385092</v>
          </cell>
          <cell r="H838">
            <v>0.1211233956366724</v>
          </cell>
          <cell r="I838">
            <v>7.5648799479044473E-2</v>
          </cell>
        </row>
        <row r="839">
          <cell r="A839" t="str">
            <v>D-IWST</v>
          </cell>
          <cell r="B839" t="str">
            <v>VAR_fout</v>
          </cell>
          <cell r="C839" t="str">
            <v>CO2</v>
          </cell>
          <cell r="D839">
            <v>1068.13279528712</v>
          </cell>
          <cell r="E839">
            <v>1094.48216450625</v>
          </cell>
          <cell r="F839">
            <v>1024.64128738821</v>
          </cell>
          <cell r="G839">
            <v>1013.19808334661</v>
          </cell>
          <cell r="H839">
            <v>996.69841915349605</v>
          </cell>
          <cell r="I839">
            <v>986.58514587802904</v>
          </cell>
        </row>
        <row r="840">
          <cell r="A840" t="str">
            <v>D-IWST</v>
          </cell>
          <cell r="B840" t="str">
            <v>VAR_fout</v>
          </cell>
          <cell r="C840" t="str">
            <v>IWST</v>
          </cell>
          <cell r="D840">
            <v>11.510051673352558</v>
          </cell>
          <cell r="E840">
            <v>11.793988841662234</v>
          </cell>
          <cell r="F840">
            <v>11.041393183062647</v>
          </cell>
          <cell r="G840">
            <v>10.918082794683334</v>
          </cell>
          <cell r="H840">
            <v>10.740284689154052</v>
          </cell>
          <cell r="I840">
            <v>10.631305451271862</v>
          </cell>
        </row>
        <row r="841">
          <cell r="A841" t="str">
            <v>D-IWST</v>
          </cell>
          <cell r="B841" t="str">
            <v>VAR_fin</v>
          </cell>
          <cell r="C841" t="str">
            <v>WSTNREN</v>
          </cell>
          <cell r="D841">
            <v>11.510051673352558</v>
          </cell>
          <cell r="E841">
            <v>11.793988841662234</v>
          </cell>
          <cell r="F841">
            <v>11.041393183062647</v>
          </cell>
          <cell r="G841">
            <v>10.918082794683334</v>
          </cell>
          <cell r="H841">
            <v>10.740284689154052</v>
          </cell>
          <cell r="I841">
            <v>10.631305451271862</v>
          </cell>
        </row>
        <row r="842">
          <cell r="A842" t="str">
            <v>RHES-SHLFOBR</v>
          </cell>
          <cell r="B842" t="str">
            <v>VAR_fout</v>
          </cell>
          <cell r="C842" t="str">
            <v>CO2_R</v>
          </cell>
          <cell r="D842">
            <v>1783.6641405364501</v>
          </cell>
          <cell r="E842">
            <v>1640.96982177224</v>
          </cell>
          <cell r="F842">
            <v>1245.02023550749</v>
          </cell>
          <cell r="G842">
            <v>794.20993720995398</v>
          </cell>
          <cell r="H842">
            <v>376.14511247783003</v>
          </cell>
          <cell r="I842">
            <v>101.741489335247</v>
          </cell>
        </row>
        <row r="843">
          <cell r="A843" t="str">
            <v>RHES-SHLFOBR</v>
          </cell>
          <cell r="B843" t="str">
            <v>VAR_fout</v>
          </cell>
          <cell r="C843" t="str">
            <v>RHES-SHLFO</v>
          </cell>
          <cell r="D843">
            <v>21.680675611450528</v>
          </cell>
          <cell r="E843">
            <v>19.946207128054674</v>
          </cell>
          <cell r="F843">
            <v>14.367058937119937</v>
          </cell>
          <cell r="G843">
            <v>9.3102017939281101</v>
          </cell>
          <cell r="H843">
            <v>4.4818556391781508</v>
          </cell>
          <cell r="I843">
            <v>1.2168030398434102</v>
          </cell>
        </row>
        <row r="844">
          <cell r="A844" t="str">
            <v>RHES-SHLFOBR</v>
          </cell>
          <cell r="B844" t="str">
            <v>VAR_fin</v>
          </cell>
          <cell r="C844" t="str">
            <v>RLFO</v>
          </cell>
          <cell r="D844">
            <v>24.201684403479653</v>
          </cell>
          <cell r="E844">
            <v>22.265533538293543</v>
          </cell>
          <cell r="F844">
            <v>16.893083249762345</v>
          </cell>
          <cell r="G844">
            <v>10.776254236227331</v>
          </cell>
          <cell r="H844">
            <v>5.1037328694413882</v>
          </cell>
          <cell r="I844">
            <v>1.3804815377916848</v>
          </cell>
        </row>
        <row r="845">
          <cell r="A845" t="str">
            <v>RHES-SHLFOBR</v>
          </cell>
          <cell r="B845" t="str">
            <v>VAR_ncap</v>
          </cell>
          <cell r="C845" t="str">
            <v>-</v>
          </cell>
          <cell r="E845">
            <v>6.7883318282480805E-8</v>
          </cell>
          <cell r="F845">
            <v>6.8048282447046896E-8</v>
          </cell>
          <cell r="G845">
            <v>1.2549459115761401E-7</v>
          </cell>
          <cell r="H845">
            <v>0.280604501575555</v>
          </cell>
          <cell r="I845">
            <v>7.0069572583035503E-8</v>
          </cell>
        </row>
        <row r="846">
          <cell r="A846" t="str">
            <v>RHES-SHLFOBR</v>
          </cell>
          <cell r="B846" t="str">
            <v>VAR_cap</v>
          </cell>
          <cell r="C846" t="str">
            <v>-</v>
          </cell>
          <cell r="D846">
            <v>1.7515307393373001</v>
          </cell>
          <cell r="E846">
            <v>1.7514809500882487</v>
          </cell>
          <cell r="F846">
            <v>1.6708383406974312</v>
          </cell>
          <cell r="G846">
            <v>1.6708067371339779</v>
          </cell>
          <cell r="H846">
            <v>0.36209037118779652</v>
          </cell>
          <cell r="I846">
            <v>0.135378258883703</v>
          </cell>
        </row>
        <row r="847">
          <cell r="A847" t="str">
            <v>ITOT-SWHSTG</v>
          </cell>
          <cell r="B847" t="str">
            <v>VAR_fout</v>
          </cell>
          <cell r="C847" t="str">
            <v>ITOT-SWH</v>
          </cell>
          <cell r="D847">
            <v>1.4488764745358247E-5</v>
          </cell>
          <cell r="E847">
            <v>2.3836726981889638E-4</v>
          </cell>
          <cell r="F847">
            <v>3.3244835822612046E-3</v>
          </cell>
          <cell r="G847">
            <v>1.4006501428918037E-3</v>
          </cell>
          <cell r="H847">
            <v>3.0611874378538443E-3</v>
          </cell>
          <cell r="I847">
            <v>1.1961691665925544E-2</v>
          </cell>
        </row>
        <row r="848">
          <cell r="A848" t="str">
            <v>ITOT-SWHSTG</v>
          </cell>
          <cell r="B848" t="str">
            <v>VAR_fout</v>
          </cell>
          <cell r="C848" t="str">
            <v>AUX_ITOT-STG_OUT</v>
          </cell>
          <cell r="D848">
            <v>1.4488764745358227E-5</v>
          </cell>
          <cell r="E848">
            <v>2.3817259490096921E-4</v>
          </cell>
          <cell r="F848">
            <v>3.3202431695287284E-3</v>
          </cell>
          <cell r="G848">
            <v>1.4006501428918071E-3</v>
          </cell>
          <cell r="H848">
            <v>3.061187437853849E-3</v>
          </cell>
          <cell r="I848">
            <v>1.1961691665925544E-2</v>
          </cell>
        </row>
        <row r="849">
          <cell r="A849" t="str">
            <v>ITOT-SWHSTG</v>
          </cell>
          <cell r="B849" t="str">
            <v>VAR_fin</v>
          </cell>
          <cell r="C849" t="str">
            <v>AUX_ITOT-STG_IN</v>
          </cell>
          <cell r="D849">
            <v>1.7887437035259646E-5</v>
          </cell>
          <cell r="E849">
            <v>2.8995145134105631E-4</v>
          </cell>
          <cell r="F849">
            <v>3.9577185502828825E-3</v>
          </cell>
          <cell r="G849">
            <v>1.6099426875059825E-3</v>
          </cell>
          <cell r="H849">
            <v>3.2915993961748699E-3</v>
          </cell>
          <cell r="I849">
            <v>1.2082516824283936E-2</v>
          </cell>
        </row>
        <row r="850">
          <cell r="A850" t="str">
            <v>ITOT-SWHSTG</v>
          </cell>
          <cell r="B850" t="str">
            <v>VAR_fin</v>
          </cell>
          <cell r="C850" t="str">
            <v>ITOT-SWH</v>
          </cell>
          <cell r="D850">
            <v>1.7887437035259646E-5</v>
          </cell>
          <cell r="E850">
            <v>2.8995145134105631E-4</v>
          </cell>
          <cell r="F850">
            <v>3.9577185502828825E-3</v>
          </cell>
          <cell r="G850">
            <v>1.6099426875059825E-3</v>
          </cell>
          <cell r="H850">
            <v>3.2915993961748699E-3</v>
          </cell>
          <cell r="I850">
            <v>1.2082516824283936E-2</v>
          </cell>
        </row>
        <row r="851">
          <cell r="A851" t="str">
            <v>ITOT-SWHSTG</v>
          </cell>
          <cell r="B851" t="str">
            <v>VAR_ncap</v>
          </cell>
          <cell r="C851" t="str">
            <v>-</v>
          </cell>
          <cell r="D851">
            <v>7.6460430182490199E-4</v>
          </cell>
          <cell r="E851">
            <v>3.62842198381866E-6</v>
          </cell>
          <cell r="F851">
            <v>4.1306323459637403E-6</v>
          </cell>
          <cell r="G851">
            <v>2.6344343595860798E-6</v>
          </cell>
          <cell r="H851">
            <v>9.3980174292712998E-5</v>
          </cell>
          <cell r="I851">
            <v>1.3148700493935E-3</v>
          </cell>
        </row>
        <row r="852">
          <cell r="A852" t="str">
            <v>ITOT-SWHSTG</v>
          </cell>
          <cell r="B852" t="str">
            <v>VAR_cap</v>
          </cell>
          <cell r="C852" t="str">
            <v>-</v>
          </cell>
          <cell r="D852">
            <v>7.6460430182490199E-4</v>
          </cell>
          <cell r="E852">
            <v>7.6734950343089611E-4</v>
          </cell>
          <cell r="F852">
            <v>7.7049275877770127E-4</v>
          </cell>
          <cell r="G852">
            <v>7.6989011374801151E-4</v>
          </cell>
          <cell r="H852">
            <v>1.0480362741813209E-3</v>
          </cell>
          <cell r="I852">
            <v>1.7826830525108769E-3</v>
          </cell>
        </row>
        <row r="853">
          <cell r="A853" t="str">
            <v>SCOM-SHLFOBR</v>
          </cell>
          <cell r="B853" t="str">
            <v>VAR_fout</v>
          </cell>
          <cell r="C853" t="str">
            <v>CO2_S</v>
          </cell>
          <cell r="D853">
            <v>2229.9139588551302</v>
          </cell>
          <cell r="E853">
            <v>1954.9046130695699</v>
          </cell>
          <cell r="F853">
            <v>1952.7726686501801</v>
          </cell>
          <cell r="G853">
            <v>1414.3710189316901</v>
          </cell>
          <cell r="H853">
            <v>885.82895101852205</v>
          </cell>
          <cell r="I853">
            <v>382.81468024008899</v>
          </cell>
        </row>
        <row r="854">
          <cell r="A854" t="str">
            <v>SCOM-SHLFOBR</v>
          </cell>
          <cell r="B854" t="str">
            <v>VAR_fout</v>
          </cell>
          <cell r="C854" t="str">
            <v>SCOM-SHLFO</v>
          </cell>
          <cell r="D854">
            <v>24.843069951594657</v>
          </cell>
          <cell r="E854">
            <v>21.822367550281513</v>
          </cell>
          <cell r="F854">
            <v>21.043678054276636</v>
          </cell>
          <cell r="G854">
            <v>15.552249391407235</v>
          </cell>
          <cell r="H854">
            <v>9.8246695014882821</v>
          </cell>
          <cell r="I854">
            <v>4.245771951066148</v>
          </cell>
        </row>
        <row r="855">
          <cell r="A855" t="str">
            <v>SCOM-SHLFOBR</v>
          </cell>
          <cell r="B855" t="str">
            <v>VAR_fin</v>
          </cell>
          <cell r="C855" t="str">
            <v>SLFO</v>
          </cell>
          <cell r="D855">
            <v>30.256634448509324</v>
          </cell>
          <cell r="E855">
            <v>26.525164356439156</v>
          </cell>
          <cell r="F855">
            <v>26.49623702374738</v>
          </cell>
          <cell r="G855">
            <v>19.190922916305198</v>
          </cell>
          <cell r="H855">
            <v>12.019388751947385</v>
          </cell>
          <cell r="I855">
            <v>5.1942290398926581</v>
          </cell>
        </row>
        <row r="856">
          <cell r="A856" t="str">
            <v>SCOM-SHLFOBR</v>
          </cell>
          <cell r="B856" t="str">
            <v>VAR_ncap</v>
          </cell>
          <cell r="C856" t="str">
            <v>-</v>
          </cell>
          <cell r="D856">
            <v>7.5025959138792997E-7</v>
          </cell>
          <cell r="E856">
            <v>5.8643154157937802E-7</v>
          </cell>
          <cell r="F856">
            <v>3.8221025410834499E-7</v>
          </cell>
          <cell r="G856">
            <v>5.8226531734526703E-7</v>
          </cell>
          <cell r="H856">
            <v>0.30078912837635402</v>
          </cell>
          <cell r="I856">
            <v>9.1537275134625097E-7</v>
          </cell>
        </row>
        <row r="857">
          <cell r="A857" t="str">
            <v>SCOM-SHLFOBR</v>
          </cell>
          <cell r="B857" t="str">
            <v>VAR_cap</v>
          </cell>
          <cell r="C857" t="str">
            <v>-</v>
          </cell>
          <cell r="D857">
            <v>1.9285744074847113</v>
          </cell>
          <cell r="E857">
            <v>1.8655646078225776</v>
          </cell>
          <cell r="F857">
            <v>1.8655534962735218</v>
          </cell>
          <cell r="G857">
            <v>1.86554623637913</v>
          </cell>
          <cell r="H857">
            <v>0.76281119715479095</v>
          </cell>
          <cell r="I857">
            <v>0.4137257209713498</v>
          </cell>
        </row>
        <row r="858">
          <cell r="A858" t="str">
            <v>RHNM-SHPLTBR</v>
          </cell>
          <cell r="B858" t="str">
            <v>VAR_fout</v>
          </cell>
          <cell r="C858" t="str">
            <v>RHNM-SHPLT</v>
          </cell>
          <cell r="E858">
            <v>7.3543796583051338E-2</v>
          </cell>
          <cell r="F858">
            <v>2.002155750648758E-2</v>
          </cell>
          <cell r="G858">
            <v>3.8850070193956046E-2</v>
          </cell>
          <cell r="H858">
            <v>6.7776831540368149E-2</v>
          </cell>
          <cell r="I858">
            <v>9.7037973756966503E-2</v>
          </cell>
        </row>
        <row r="859">
          <cell r="A859" t="str">
            <v>RHNM-SHPLTBR</v>
          </cell>
          <cell r="B859" t="str">
            <v>VAR_fin</v>
          </cell>
          <cell r="C859" t="str">
            <v>RPLT</v>
          </cell>
          <cell r="E859">
            <v>8.1715329536723724E-2</v>
          </cell>
          <cell r="F859">
            <v>2.6949166796391623E-2</v>
          </cell>
          <cell r="G859">
            <v>5.2083890569162877E-2</v>
          </cell>
          <cell r="H859">
            <v>9.0392505961990458E-2</v>
          </cell>
          <cell r="I859">
            <v>0.12941746349033348</v>
          </cell>
        </row>
        <row r="860">
          <cell r="A860" t="str">
            <v>RHNM-SHPLTBR</v>
          </cell>
          <cell r="B860" t="str">
            <v>VAR_fin</v>
          </cell>
          <cell r="C860" t="str">
            <v>RHNMPLTBRC</v>
          </cell>
          <cell r="E860">
            <v>7.3543796583051338E-2</v>
          </cell>
          <cell r="F860">
            <v>2.002155750648758E-2</v>
          </cell>
          <cell r="G860">
            <v>3.8850070193956046E-2</v>
          </cell>
          <cell r="H860">
            <v>6.7776831540368149E-2</v>
          </cell>
          <cell r="I860">
            <v>9.7037973756966503E-2</v>
          </cell>
        </row>
        <row r="861">
          <cell r="A861" t="str">
            <v>RHNM-SHPLTBR</v>
          </cell>
          <cell r="B861" t="str">
            <v>VAR_ncap</v>
          </cell>
          <cell r="C861" t="str">
            <v>-</v>
          </cell>
          <cell r="E861">
            <v>5.7720930671178901E-3</v>
          </cell>
          <cell r="F861">
            <v>1.2815040046416301E-6</v>
          </cell>
          <cell r="G861">
            <v>5.1687457851545798E-6</v>
          </cell>
          <cell r="H861">
            <v>3.8930107675473002E-3</v>
          </cell>
          <cell r="I861">
            <v>4.1340201032378796E-3</v>
          </cell>
        </row>
        <row r="862">
          <cell r="A862" t="str">
            <v>RHNM-SHPLTBR</v>
          </cell>
          <cell r="B862" t="str">
            <v>VAR_cap</v>
          </cell>
          <cell r="C862" t="str">
            <v>-</v>
          </cell>
          <cell r="E862">
            <v>5.7720930671178901E-3</v>
          </cell>
          <cell r="F862">
            <v>5.7725799426617532E-3</v>
          </cell>
          <cell r="G862">
            <v>5.7768749458104729E-3</v>
          </cell>
          <cell r="H862">
            <v>5.299719669844479E-3</v>
          </cell>
          <cell r="I862">
            <v>7.5527404528434715E-3</v>
          </cell>
        </row>
        <row r="863">
          <cell r="A863" t="str">
            <v>D-RHES_NKEV_GAS_ELC_CHP</v>
          </cell>
          <cell r="B863" t="str">
            <v>VAR_fout</v>
          </cell>
          <cell r="C863" t="str">
            <v>RHES_ELC</v>
          </cell>
          <cell r="D863">
            <v>7.2082423721917368E-3</v>
          </cell>
          <cell r="E863">
            <v>9.6847504810587681E-4</v>
          </cell>
          <cell r="F863">
            <v>1.540348018285656E-3</v>
          </cell>
          <cell r="G863">
            <v>3.2352717340837609E-3</v>
          </cell>
          <cell r="H863">
            <v>1.2147698547602757E-3</v>
          </cell>
          <cell r="I863">
            <v>7.2370646509406348E-4</v>
          </cell>
        </row>
        <row r="864">
          <cell r="A864" t="str">
            <v>D-RHES_NKEV_GAS_ELC_CHP</v>
          </cell>
          <cell r="B864" t="str">
            <v>VAR_fout</v>
          </cell>
          <cell r="C864" t="str">
            <v>ELC5</v>
          </cell>
          <cell r="D864">
            <v>7.0679182326619612E-3</v>
          </cell>
          <cell r="E864">
            <v>9.6866032427505612E-4</v>
          </cell>
          <cell r="F864">
            <v>1.5428634544996606E-3</v>
          </cell>
          <cell r="G864">
            <v>3.2379835897250121E-3</v>
          </cell>
          <cell r="H864">
            <v>1.2168694162134582E-3</v>
          </cell>
          <cell r="I864">
            <v>7.2479493126853772E-4</v>
          </cell>
        </row>
        <row r="865">
          <cell r="A865" t="str">
            <v>D-RHES_NKEV_GAS_ELC_CHP</v>
          </cell>
          <cell r="B865" t="str">
            <v>VAR_fin</v>
          </cell>
          <cell r="C865" t="str">
            <v>RHES_NKEV_GAS_ELC_CHP</v>
          </cell>
          <cell r="D865">
            <v>1.4276160604853689E-2</v>
          </cell>
          <cell r="E865">
            <v>1.9371353723809312E-3</v>
          </cell>
          <cell r="F865">
            <v>3.0720227014399953E-3</v>
          </cell>
          <cell r="G865">
            <v>6.473255323808773E-3</v>
          </cell>
          <cell r="H865">
            <v>2.4316392709737345E-3</v>
          </cell>
          <cell r="I865">
            <v>1.4485013963626008E-3</v>
          </cell>
        </row>
        <row r="866">
          <cell r="A866" t="str">
            <v>SCOM-SHSTG-SOL</v>
          </cell>
          <cell r="B866" t="str">
            <v>VAR_fout</v>
          </cell>
          <cell r="C866" t="str">
            <v>SCOM-SHASOL</v>
          </cell>
          <cell r="D866">
            <v>8.3015165076133566E-5</v>
          </cell>
          <cell r="E866">
            <v>8.6154390004489562E-5</v>
          </cell>
          <cell r="F866">
            <v>9.0545015742472899E-5</v>
          </cell>
          <cell r="G866">
            <v>4.7399990465496097E-5</v>
          </cell>
          <cell r="H866">
            <v>3.6393100519179706E-5</v>
          </cell>
          <cell r="I866">
            <v>1.965875255960687E-5</v>
          </cell>
        </row>
        <row r="867">
          <cell r="A867" t="str">
            <v>SCOM-SHSTG-SOL</v>
          </cell>
          <cell r="B867" t="str">
            <v>VAR_fin</v>
          </cell>
          <cell r="C867" t="str">
            <v>SCOM-SHASOL</v>
          </cell>
          <cell r="D867">
            <v>7.623112729206893E-5</v>
          </cell>
          <cell r="E867">
            <v>8.1832255169965492E-5</v>
          </cell>
          <cell r="F867">
            <v>8.8325432871089497E-5</v>
          </cell>
          <cell r="G867">
            <v>3.7952249018020558E-5</v>
          </cell>
          <cell r="H867">
            <v>2.5867397655038501E-5</v>
          </cell>
          <cell r="I867">
            <v>2.9345675444272636E-6</v>
          </cell>
        </row>
        <row r="868">
          <cell r="A868" t="str">
            <v>SCOM-SHSTG-SOL</v>
          </cell>
          <cell r="B868" t="str">
            <v>VAR_ncap</v>
          </cell>
          <cell r="C868" t="str">
            <v>-</v>
          </cell>
          <cell r="D868">
            <v>9.3094511018181995E-3</v>
          </cell>
          <cell r="E868">
            <v>1.41818343074777E-2</v>
          </cell>
          <cell r="F868">
            <v>4.3481469343767102E-7</v>
          </cell>
          <cell r="G868">
            <v>7.5124794233098295E-7</v>
          </cell>
          <cell r="H868">
            <v>1.15915652681522E-2</v>
          </cell>
          <cell r="I868">
            <v>1.6286561751660801E-2</v>
          </cell>
        </row>
        <row r="869">
          <cell r="A869" t="str">
            <v>SCOM-SHSTG-SOL</v>
          </cell>
          <cell r="B869" t="str">
            <v>VAR_cap</v>
          </cell>
          <cell r="C869" t="str">
            <v>-</v>
          </cell>
          <cell r="D869">
            <v>9.3094511018181995E-3</v>
          </cell>
          <cell r="E869">
            <v>2.34912854092959E-2</v>
          </cell>
          <cell r="F869">
            <v>2.34917202239893E-2</v>
          </cell>
          <cell r="G869">
            <v>2.3492471471931699E-2</v>
          </cell>
          <cell r="H869">
            <v>2.5385685122710298E-2</v>
          </cell>
          <cell r="I869">
            <v>3.05335385671993E-2</v>
          </cell>
        </row>
        <row r="870">
          <cell r="A870" t="str">
            <v>RHNM-SHELCBRA</v>
          </cell>
          <cell r="B870" t="str">
            <v>VAR_fout</v>
          </cell>
          <cell r="C870" t="str">
            <v>RHNM-SHELCB</v>
          </cell>
          <cell r="E870">
            <v>0.15439484996040148</v>
          </cell>
          <cell r="F870">
            <v>1.3494558999249228E-3</v>
          </cell>
          <cell r="G870">
            <v>3.8184108811830184E-3</v>
          </cell>
          <cell r="H870">
            <v>5.9036307020839162E-3</v>
          </cell>
          <cell r="I870">
            <v>7.3745548581466624E-3</v>
          </cell>
        </row>
        <row r="871">
          <cell r="A871" t="str">
            <v>RHNM-SHELCBRA</v>
          </cell>
          <cell r="B871" t="str">
            <v>VAR_fin</v>
          </cell>
          <cell r="C871" t="str">
            <v>RHNM-SHAELCB</v>
          </cell>
          <cell r="E871">
            <v>0.15439484996040148</v>
          </cell>
          <cell r="F871">
            <v>1.3494558999249228E-3</v>
          </cell>
          <cell r="G871">
            <v>3.8184108811830184E-3</v>
          </cell>
          <cell r="H871">
            <v>5.9036307020839162E-3</v>
          </cell>
          <cell r="I871">
            <v>7.3745548581466624E-3</v>
          </cell>
        </row>
        <row r="872">
          <cell r="A872" t="str">
            <v>RHNM-SHELCBRA</v>
          </cell>
          <cell r="B872" t="str">
            <v>VAR_ncap</v>
          </cell>
          <cell r="C872" t="str">
            <v>-</v>
          </cell>
          <cell r="E872">
            <v>1.20964698655064E-2</v>
          </cell>
        </row>
        <row r="873">
          <cell r="A873" t="str">
            <v>RHNM-SHELCBRA</v>
          </cell>
          <cell r="B873" t="str">
            <v>VAR_cap</v>
          </cell>
          <cell r="C873" t="str">
            <v>-</v>
          </cell>
          <cell r="E873">
            <v>1.20964698655064E-2</v>
          </cell>
          <cell r="F873">
            <v>1.059949009112462E-2</v>
          </cell>
          <cell r="G873">
            <v>7.7095192622479393E-3</v>
          </cell>
          <cell r="H873">
            <v>1.6256433699560597E-3</v>
          </cell>
          <cell r="I873">
            <v>6.8737488417676873E-4</v>
          </cell>
        </row>
        <row r="874">
          <cell r="A874" t="str">
            <v>RHNM-SHSTG-SOL</v>
          </cell>
          <cell r="B874" t="str">
            <v>VAR_fout</v>
          </cell>
          <cell r="C874" t="str">
            <v>RHNM-SHASOL</v>
          </cell>
          <cell r="E874">
            <v>4.2260154841014493E-5</v>
          </cell>
          <cell r="F874">
            <v>2.0759809554825027E-5</v>
          </cell>
          <cell r="G874">
            <v>2.2360591503615676E-5</v>
          </cell>
          <cell r="H874">
            <v>2.3377345781928826E-5</v>
          </cell>
          <cell r="I874">
            <v>6.4409350000037415E-5</v>
          </cell>
        </row>
        <row r="875">
          <cell r="A875" t="str">
            <v>RHNM-SHSTG-SOL</v>
          </cell>
          <cell r="B875" t="str">
            <v>VAR_fin</v>
          </cell>
          <cell r="C875" t="str">
            <v>RHNM-SHASOL</v>
          </cell>
          <cell r="E875">
            <v>2.2412346423061278E-6</v>
          </cell>
          <cell r="F875">
            <v>9.5257804263744591E-6</v>
          </cell>
          <cell r="G875">
            <v>1.9253621509903825E-5</v>
          </cell>
          <cell r="H875">
            <v>2.6766672264861628E-5</v>
          </cell>
          <cell r="I875">
            <v>7.6511837483037414E-5</v>
          </cell>
        </row>
        <row r="876">
          <cell r="A876" t="str">
            <v>RHNM-SHSTG-SOL</v>
          </cell>
          <cell r="B876" t="str">
            <v>VAR_ncap</v>
          </cell>
          <cell r="C876" t="str">
            <v>-</v>
          </cell>
          <cell r="D876">
            <v>1.4762222378514301E-4</v>
          </cell>
          <cell r="E876">
            <v>2.4167784799490799E-6</v>
          </cell>
          <cell r="F876">
            <v>1.17398611713788E-4</v>
          </cell>
          <cell r="G876">
            <v>4.6395746984656097E-6</v>
          </cell>
          <cell r="H876">
            <v>1.16106702617634E-5</v>
          </cell>
          <cell r="I876">
            <v>1.8906845026545999E-5</v>
          </cell>
        </row>
        <row r="877">
          <cell r="A877" t="str">
            <v>RHNM-SHSTG-SOL</v>
          </cell>
          <cell r="B877" t="str">
            <v>VAR_cap</v>
          </cell>
          <cell r="C877" t="str">
            <v>-</v>
          </cell>
          <cell r="D877">
            <v>1.4762222378514301E-4</v>
          </cell>
          <cell r="E877">
            <v>1.5003900226509201E-4</v>
          </cell>
          <cell r="F877">
            <v>2.67437613978879E-4</v>
          </cell>
          <cell r="G877">
            <v>2.7207718867734498E-4</v>
          </cell>
          <cell r="H877">
            <v>3.6171372669797497E-5</v>
          </cell>
          <cell r="I877">
            <v>2.7586077451647001E-5</v>
          </cell>
        </row>
        <row r="878">
          <cell r="A878" t="str">
            <v>RHNS-SHELCHP</v>
          </cell>
          <cell r="B878" t="str">
            <v>VAR_fout</v>
          </cell>
          <cell r="C878" t="str">
            <v>RHNS-SHAELCH</v>
          </cell>
          <cell r="E878">
            <v>0.13944831007331435</v>
          </cell>
          <cell r="F878">
            <v>1.0958689645884832</v>
          </cell>
          <cell r="G878">
            <v>1.9861370909878191</v>
          </cell>
          <cell r="H878">
            <v>2.9305537058492215</v>
          </cell>
          <cell r="I878">
            <v>3.5147877363178752</v>
          </cell>
        </row>
        <row r="879">
          <cell r="A879" t="str">
            <v>RHNS-SHELCHP</v>
          </cell>
          <cell r="B879" t="str">
            <v>VAR_fin</v>
          </cell>
          <cell r="C879" t="str">
            <v>RHNS_ELC</v>
          </cell>
          <cell r="E879">
            <v>4.28632100635188E-2</v>
          </cell>
          <cell r="F879">
            <v>0.3220186151223085</v>
          </cell>
          <cell r="G879">
            <v>0.56696126049338569</v>
          </cell>
          <cell r="H879">
            <v>0.80465501250281191</v>
          </cell>
          <cell r="I879">
            <v>0.92492388495597977</v>
          </cell>
        </row>
        <row r="880">
          <cell r="A880" t="str">
            <v>RHNS-SHELCHP</v>
          </cell>
          <cell r="B880" t="str">
            <v>VAR_fin</v>
          </cell>
          <cell r="C880" t="str">
            <v>RHNSELCHPC</v>
          </cell>
          <cell r="E880">
            <v>0.13944831007331435</v>
          </cell>
          <cell r="F880">
            <v>1.0958689645884832</v>
          </cell>
          <cell r="G880">
            <v>1.9861370909878191</v>
          </cell>
          <cell r="H880">
            <v>2.9305537058492215</v>
          </cell>
          <cell r="I880">
            <v>3.5147877363178752</v>
          </cell>
        </row>
        <row r="881">
          <cell r="A881" t="str">
            <v>RHNS-SHELCHP</v>
          </cell>
          <cell r="B881" t="str">
            <v>VAR_ncap</v>
          </cell>
          <cell r="C881" t="str">
            <v>-</v>
          </cell>
          <cell r="E881">
            <v>1.02071738978954E-2</v>
          </cell>
          <cell r="F881">
            <v>6.9746679570192302E-2</v>
          </cell>
          <cell r="G881">
            <v>6.5068533724399497E-2</v>
          </cell>
          <cell r="H881">
            <v>0.113934278544412</v>
          </cell>
          <cell r="I881">
            <v>0.155830772412311</v>
          </cell>
        </row>
        <row r="882">
          <cell r="A882" t="str">
            <v>RHNS-SHELCHP</v>
          </cell>
          <cell r="B882" t="str">
            <v>VAR_cap</v>
          </cell>
          <cell r="C882" t="str">
            <v>-</v>
          </cell>
          <cell r="E882">
            <v>1.02071738978954E-2</v>
          </cell>
          <cell r="F882">
            <v>7.9953702713017799E-2</v>
          </cell>
          <cell r="G882">
            <v>0.14502180163085662</v>
          </cell>
          <cell r="H882">
            <v>0.21358553305190342</v>
          </cell>
          <cell r="I882">
            <v>0.2566448351133076</v>
          </cell>
        </row>
        <row r="883">
          <cell r="A883" t="str">
            <v>SCOM-SHBIOBR</v>
          </cell>
          <cell r="B883" t="str">
            <v>VAR_fout</v>
          </cell>
          <cell r="C883" t="str">
            <v>SCOM-SHBIO</v>
          </cell>
          <cell r="D883">
            <v>1.2230742215044998</v>
          </cell>
          <cell r="E883">
            <v>1.340776288303402</v>
          </cell>
        </row>
        <row r="884">
          <cell r="A884" t="str">
            <v>SCOM-SHBIOBR</v>
          </cell>
          <cell r="B884" t="str">
            <v>VAR_fin</v>
          </cell>
          <cell r="C884" t="str">
            <v>SBIO</v>
          </cell>
          <cell r="D884">
            <v>1.4022864268567998</v>
          </cell>
          <cell r="E884">
            <v>1.5372349097723037</v>
          </cell>
        </row>
        <row r="885">
          <cell r="A885" t="str">
            <v>SCOM-SHBIOBR</v>
          </cell>
          <cell r="B885" t="str">
            <v>VAR_ncap</v>
          </cell>
          <cell r="C885" t="str">
            <v>-</v>
          </cell>
          <cell r="D885">
            <v>4.8229637823273905E-7</v>
          </cell>
          <cell r="E885">
            <v>2.3237357661158701E-6</v>
          </cell>
          <cell r="F885">
            <v>4.9309655464782804E-7</v>
          </cell>
          <cell r="G885">
            <v>5.7769173621138796E-7</v>
          </cell>
          <cell r="H885">
            <v>4.66297748468779E-5</v>
          </cell>
          <cell r="I885">
            <v>1.69263643797682E-5</v>
          </cell>
        </row>
        <row r="886">
          <cell r="A886" t="str">
            <v>SCOM-SHBIOBR</v>
          </cell>
          <cell r="B886" t="str">
            <v>VAR_cap</v>
          </cell>
          <cell r="C886" t="str">
            <v>-</v>
          </cell>
          <cell r="D886">
            <v>0.10534140776505424</v>
          </cell>
          <cell r="E886">
            <v>0.10534046100711453</v>
          </cell>
          <cell r="F886">
            <v>0.10530599770624713</v>
          </cell>
          <cell r="G886">
            <v>0.10529793155475933</v>
          </cell>
          <cell r="H886">
            <v>7.8152433979803367E-5</v>
          </cell>
          <cell r="I886">
            <v>6.3803419965048156E-5</v>
          </cell>
        </row>
        <row r="887">
          <cell r="A887" t="str">
            <v>RHES-SHDEM</v>
          </cell>
          <cell r="B887" t="str">
            <v>VAR_fout</v>
          </cell>
          <cell r="C887" t="str">
            <v>RHES-SHD</v>
          </cell>
          <cell r="D887">
            <v>62.024837503894084</v>
          </cell>
          <cell r="E887">
            <v>67.815394581973521</v>
          </cell>
          <cell r="F887">
            <v>56.61163877906602</v>
          </cell>
          <cell r="G887">
            <v>55.589128969719042</v>
          </cell>
          <cell r="H887">
            <v>54.035870792963877</v>
          </cell>
          <cell r="I887">
            <v>53.238027764399703</v>
          </cell>
        </row>
        <row r="888">
          <cell r="A888" t="str">
            <v>RHES-SHDEM</v>
          </cell>
          <cell r="B888" t="str">
            <v>VAR_fin</v>
          </cell>
          <cell r="C888" t="str">
            <v>RHES-SHPLT</v>
          </cell>
          <cell r="D888">
            <v>1.293174154246673</v>
          </cell>
          <cell r="E888">
            <v>1.486865265997894</v>
          </cell>
          <cell r="F888">
            <v>4.5916778314369557E-2</v>
          </cell>
          <cell r="G888">
            <v>7.3917080558063147E-2</v>
          </cell>
          <cell r="H888">
            <v>0.10594591684102682</v>
          </cell>
          <cell r="I888">
            <v>0.13043119062650924</v>
          </cell>
        </row>
        <row r="889">
          <cell r="A889" t="str">
            <v>RHES-SHDEM</v>
          </cell>
          <cell r="B889" t="str">
            <v>VAR_fin</v>
          </cell>
          <cell r="C889" t="str">
            <v>RHES-SHLTHC-NGA</v>
          </cell>
          <cell r="D889">
            <v>3.3976551155404558E-2</v>
          </cell>
          <cell r="E889">
            <v>4.4853773389568145E-3</v>
          </cell>
          <cell r="F889">
            <v>7.0392083195438486E-7</v>
          </cell>
          <cell r="G889">
            <v>1.9214889261997266E-6</v>
          </cell>
          <cell r="H889">
            <v>2.8519421825705323E-6</v>
          </cell>
        </row>
        <row r="890">
          <cell r="A890" t="str">
            <v>RHES-SHDEM</v>
          </cell>
          <cell r="B890" t="str">
            <v>VAR_fin</v>
          </cell>
          <cell r="C890" t="str">
            <v>RHES-SHSOL</v>
          </cell>
          <cell r="D890">
            <v>0.37603090642410858</v>
          </cell>
          <cell r="E890">
            <v>0.43549567688954499</v>
          </cell>
          <cell r="F890">
            <v>2.1662101656196746E-2</v>
          </cell>
          <cell r="G890">
            <v>2.4484575263052644E-2</v>
          </cell>
          <cell r="H890">
            <v>2.6394536382195386E-2</v>
          </cell>
          <cell r="I890">
            <v>2.7506482625925577E-2</v>
          </cell>
        </row>
        <row r="891">
          <cell r="A891" t="str">
            <v>RHES-SHDEM</v>
          </cell>
          <cell r="B891" t="str">
            <v>VAR_fin</v>
          </cell>
          <cell r="C891" t="str">
            <v>RHES-SHLTHC-WOD</v>
          </cell>
          <cell r="D891">
            <v>8.8402819746756533E-4</v>
          </cell>
          <cell r="E891">
            <v>1.8732585978034436E-5</v>
          </cell>
          <cell r="F891">
            <v>8.4509361254268097E-7</v>
          </cell>
          <cell r="G891">
            <v>3.1069568367955421E-7</v>
          </cell>
          <cell r="H891">
            <v>1.6816721006380921E-7</v>
          </cell>
        </row>
        <row r="892">
          <cell r="A892" t="str">
            <v>RHES-SHDEM</v>
          </cell>
          <cell r="B892" t="str">
            <v>VAR_fin</v>
          </cell>
          <cell r="C892" t="str">
            <v>RHES-SHNGA</v>
          </cell>
          <cell r="D892">
            <v>17.566428110046999</v>
          </cell>
          <cell r="E892">
            <v>18.836410983462205</v>
          </cell>
          <cell r="F892">
            <v>10.845226316131747</v>
          </cell>
          <cell r="G892">
            <v>8.9896622858144202</v>
          </cell>
          <cell r="H892">
            <v>5.2970061828224315</v>
          </cell>
          <cell r="I892">
            <v>2.5104027708689616</v>
          </cell>
        </row>
        <row r="893">
          <cell r="A893" t="str">
            <v>RHES-SHDEM</v>
          </cell>
          <cell r="B893" t="str">
            <v>VAR_fin</v>
          </cell>
          <cell r="C893" t="str">
            <v>RHES-SHNGAH</v>
          </cell>
          <cell r="D893">
            <v>2.1818288128471141E-3</v>
          </cell>
          <cell r="E893">
            <v>2.3211192011578158E-5</v>
          </cell>
          <cell r="F893">
            <v>2.0481960572830338</v>
          </cell>
          <cell r="G893">
            <v>4.0071073506018884</v>
          </cell>
          <cell r="H893">
            <v>6.2205220815475943</v>
          </cell>
          <cell r="I893">
            <v>7.8138247575436397</v>
          </cell>
        </row>
        <row r="894">
          <cell r="A894" t="str">
            <v>RHES-SHDEM</v>
          </cell>
          <cell r="B894" t="str">
            <v>VAR_fin</v>
          </cell>
          <cell r="C894" t="str">
            <v>RHES-SHCOA</v>
          </cell>
          <cell r="D894">
            <v>7.4436623860353143E-2</v>
          </cell>
          <cell r="E894">
            <v>7.1994200618500689E-2</v>
          </cell>
          <cell r="F894">
            <v>2.1570667935350826E-2</v>
          </cell>
          <cell r="G894">
            <v>4.8634295342552744E-3</v>
          </cell>
        </row>
        <row r="895">
          <cell r="A895" t="str">
            <v>RHES-SHDEM</v>
          </cell>
          <cell r="B895" t="str">
            <v>VAR_fin</v>
          </cell>
          <cell r="C895" t="str">
            <v>RHES-SHLFO</v>
          </cell>
          <cell r="D895">
            <v>21.674868321950854</v>
          </cell>
          <cell r="E895">
            <v>19.94617498270053</v>
          </cell>
          <cell r="F895">
            <v>14.367077563894982</v>
          </cell>
          <cell r="G895">
            <v>9.3102211336838838</v>
          </cell>
          <cell r="H895">
            <v>4.4818754849147968</v>
          </cell>
          <cell r="I895">
            <v>1.2168224548562949</v>
          </cell>
        </row>
        <row r="896">
          <cell r="A896" t="str">
            <v>RHES-SHDEM</v>
          </cell>
          <cell r="B896" t="str">
            <v>VAR_fin</v>
          </cell>
          <cell r="C896" t="str">
            <v>RHES-SHCON</v>
          </cell>
          <cell r="D896">
            <v>4.2358965544117E-2</v>
          </cell>
          <cell r="E896">
            <v>3.7323016692512767</v>
          </cell>
          <cell r="F896">
            <v>2.257453622246818</v>
          </cell>
          <cell r="G896">
            <v>4.0999991149902364</v>
          </cell>
          <cell r="H896">
            <v>7.6001920735896302</v>
          </cell>
          <cell r="I896">
            <v>10.813452614218345</v>
          </cell>
        </row>
        <row r="897">
          <cell r="A897" t="str">
            <v>RHES-SHDEM</v>
          </cell>
          <cell r="B897" t="str">
            <v>VAR_fin</v>
          </cell>
          <cell r="C897" t="str">
            <v>RHES-SHWOD</v>
          </cell>
          <cell r="D897">
            <v>4.3835292238277104</v>
          </cell>
          <cell r="E897">
            <v>5.0342510912761984</v>
          </cell>
          <cell r="F897">
            <v>5.2317632951635549</v>
          </cell>
          <cell r="G897">
            <v>4.5792515468671064</v>
          </cell>
          <cell r="H897">
            <v>3.2006243194855006</v>
          </cell>
          <cell r="I897">
            <v>2.0721179963728367</v>
          </cell>
        </row>
        <row r="898">
          <cell r="A898" t="str">
            <v>RHES-SHDEM</v>
          </cell>
          <cell r="B898" t="str">
            <v>VAR_fin</v>
          </cell>
          <cell r="C898" t="str">
            <v>RHES-SHLTHD</v>
          </cell>
          <cell r="D898">
            <v>3.1474315374242914</v>
          </cell>
          <cell r="E898">
            <v>3.5037741409667174</v>
          </cell>
          <cell r="F898">
            <v>1.4206282616841965</v>
          </cell>
          <cell r="G898">
            <v>1.5967351150445841</v>
          </cell>
          <cell r="H898">
            <v>1.6946842074940998</v>
          </cell>
          <cell r="I898">
            <v>1.7386041273780246</v>
          </cell>
        </row>
        <row r="899">
          <cell r="A899" t="str">
            <v>RHES-SHDEM</v>
          </cell>
          <cell r="B899" t="str">
            <v>VAR_fin</v>
          </cell>
          <cell r="C899" t="str">
            <v>RHES-SHELCB</v>
          </cell>
          <cell r="D899">
            <v>4.2763635955522998</v>
          </cell>
          <cell r="E899">
            <v>4.4886288917799</v>
          </cell>
          <cell r="F899">
            <v>0.7864483314634847</v>
          </cell>
          <cell r="G899">
            <v>0.19155071608434257</v>
          </cell>
          <cell r="H899">
            <v>3.9114370554317029E-3</v>
          </cell>
          <cell r="I899">
            <v>1.9386972011242473E-3</v>
          </cell>
        </row>
        <row r="900">
          <cell r="A900" t="str">
            <v>RHES-SHDEM</v>
          </cell>
          <cell r="B900" t="str">
            <v>VAR_fin</v>
          </cell>
          <cell r="C900" t="str">
            <v>RHES-SHELCH</v>
          </cell>
          <cell r="D900">
            <v>9.1538616402080368</v>
          </cell>
          <cell r="E900">
            <v>10.275884339854844</v>
          </cell>
          <cell r="F900">
            <v>19.566756957046643</v>
          </cell>
          <cell r="G900">
            <v>22.712148351509917</v>
          </cell>
          <cell r="H900">
            <v>25.405497103960698</v>
          </cell>
          <cell r="I900">
            <v>26.913573064349141</v>
          </cell>
        </row>
        <row r="901">
          <cell r="A901" t="str">
            <v>RHES-SHDEM</v>
          </cell>
          <cell r="B901" t="str">
            <v>VAR_fin</v>
          </cell>
          <cell r="C901" t="str">
            <v>RHES-SHNST</v>
          </cell>
          <cell r="D901">
            <v>1.3310735171621162E-5</v>
          </cell>
          <cell r="E901">
            <v>1.8956856302258067E-5</v>
          </cell>
          <cell r="F901">
            <v>2.7215554442154531E-6</v>
          </cell>
          <cell r="G901">
            <v>6.9879277859888378E-7</v>
          </cell>
          <cell r="H901">
            <v>4.5426448137442196E-8</v>
          </cell>
        </row>
        <row r="902">
          <cell r="A902" t="str">
            <v>D-RHEM_LTH_CHPNGA</v>
          </cell>
          <cell r="B902" t="str">
            <v>VAR_fout</v>
          </cell>
          <cell r="C902" t="str">
            <v>RHSA_LTH</v>
          </cell>
          <cell r="D902">
            <v>1.7863674729308669E-3</v>
          </cell>
          <cell r="E902">
            <v>3.0721287781385235E-5</v>
          </cell>
          <cell r="F902">
            <v>6.9063038431161619E-3</v>
          </cell>
          <cell r="G902">
            <v>0.2878484184033151</v>
          </cell>
          <cell r="H902">
            <v>0.54508667570490121</v>
          </cell>
          <cell r="I902">
            <v>1.4697650887633824</v>
          </cell>
        </row>
        <row r="903">
          <cell r="A903" t="str">
            <v>D-RHEM_LTH_CHPNGA</v>
          </cell>
          <cell r="B903" t="str">
            <v>VAR_fout</v>
          </cell>
          <cell r="C903" t="str">
            <v>RHEM_LTH_CHPNGA_ON</v>
          </cell>
          <cell r="D903">
            <v>5.0155810496912819E-2</v>
          </cell>
          <cell r="E903">
            <v>2.6176946628862574E-3</v>
          </cell>
          <cell r="G903">
            <v>0.3987780447628223</v>
          </cell>
          <cell r="H903">
            <v>0.80810991456605208</v>
          </cell>
        </row>
        <row r="904">
          <cell r="A904" t="str">
            <v>D-RHEM_LTH_CHPNGA</v>
          </cell>
          <cell r="B904" t="str">
            <v>VAR_fout</v>
          </cell>
          <cell r="C904" t="str">
            <v>LTH</v>
          </cell>
          <cell r="F904">
            <v>1.1521337888947314E-6</v>
          </cell>
          <cell r="G904">
            <v>4.8101373510558943E-4</v>
          </cell>
          <cell r="H904">
            <v>3.0566946810420925E-3</v>
          </cell>
          <cell r="I904">
            <v>5.4490553402777638E-3</v>
          </cell>
        </row>
        <row r="905">
          <cell r="A905" t="str">
            <v>D-RHEM_LTH_CHPNGA</v>
          </cell>
          <cell r="B905" t="str">
            <v>VAR_fin</v>
          </cell>
          <cell r="C905" t="str">
            <v>RHEM_LTH_CHPNGA</v>
          </cell>
          <cell r="D905">
            <v>5.194217796984367E-2</v>
          </cell>
          <cell r="E905">
            <v>2.6488976836716378E-3</v>
          </cell>
          <cell r="F905">
            <v>6.9085811371189841E-3</v>
          </cell>
          <cell r="G905">
            <v>0.68710747690124296</v>
          </cell>
          <cell r="H905">
            <v>1.3562532849519942</v>
          </cell>
          <cell r="I905">
            <v>1.4752141441036606</v>
          </cell>
        </row>
        <row r="906">
          <cell r="A906" t="str">
            <v>RHEM-SHLTHCHPNGA</v>
          </cell>
          <cell r="B906" t="str">
            <v>VAR_fout</v>
          </cell>
          <cell r="C906" t="str">
            <v>RHEM-SHLTHC-NGA</v>
          </cell>
          <cell r="D906">
            <v>4.7633142368073346E-2</v>
          </cell>
          <cell r="E906">
            <v>2.5798093801495444E-3</v>
          </cell>
        </row>
        <row r="907">
          <cell r="A907" t="str">
            <v>RHEM-SHLTHCHPNGA</v>
          </cell>
          <cell r="B907" t="str">
            <v>VAR_fin</v>
          </cell>
          <cell r="C907" t="str">
            <v>RHEM_LTH_CHPNGA_ON</v>
          </cell>
          <cell r="D907">
            <v>4.8114285220276137E-2</v>
          </cell>
          <cell r="E907">
            <v>2.6058680607571158E-3</v>
          </cell>
        </row>
        <row r="908">
          <cell r="A908" t="str">
            <v>RHEM-SHLTHCHPNGA</v>
          </cell>
          <cell r="B908" t="str">
            <v>VAR_fin</v>
          </cell>
          <cell r="C908" t="str">
            <v>RHEMLTHCHPC</v>
          </cell>
          <cell r="D908">
            <v>4.7633142368073346E-2</v>
          </cell>
          <cell r="E908">
            <v>2.5798093801495444E-3</v>
          </cell>
        </row>
        <row r="909">
          <cell r="A909" t="str">
            <v>RHEM-SHLTHCHPNGA</v>
          </cell>
          <cell r="B909" t="str">
            <v>VAR_ncap</v>
          </cell>
          <cell r="C909" t="str">
            <v>-</v>
          </cell>
          <cell r="D909">
            <v>2.5666346395679501E-6</v>
          </cell>
          <cell r="E909">
            <v>1.7221461179028701E-4</v>
          </cell>
          <cell r="F909">
            <v>5.0890859063270298E-4</v>
          </cell>
          <cell r="G909">
            <v>2.1122997221832199E-2</v>
          </cell>
          <cell r="H909">
            <v>1.9843999892156201E-2</v>
          </cell>
          <cell r="I909">
            <v>1.40879925611883E-2</v>
          </cell>
        </row>
        <row r="910">
          <cell r="A910" t="str">
            <v>RHEM-SHLTHCHPNGA</v>
          </cell>
          <cell r="B910" t="str">
            <v>VAR_cap</v>
          </cell>
          <cell r="C910" t="str">
            <v>-</v>
          </cell>
          <cell r="D910">
            <v>6.8007676331882979E-3</v>
          </cell>
          <cell r="E910">
            <v>3.0278753598653521E-4</v>
          </cell>
          <cell r="F910">
            <v>7.072777968340372E-4</v>
          </cell>
          <cell r="G910">
            <v>2.162517738526681E-2</v>
          </cell>
          <cell r="H910">
            <v>4.4392986684712102E-2</v>
          </cell>
          <cell r="I910">
            <v>2.6466032081010504E-2</v>
          </cell>
        </row>
        <row r="911">
          <cell r="A911" t="str">
            <v>D-RHES_SOLELC</v>
          </cell>
          <cell r="B911" t="str">
            <v>VAR_fout</v>
          </cell>
          <cell r="C911" t="str">
            <v>RHES_ELC</v>
          </cell>
          <cell r="D911">
            <v>1.8097831826602393</v>
          </cell>
          <cell r="E911">
            <v>1.5113213869125364</v>
          </cell>
          <cell r="F911">
            <v>1.7314909256945639</v>
          </cell>
          <cell r="G911">
            <v>1.8706089479429477</v>
          </cell>
          <cell r="H911">
            <v>0.74222934848662081</v>
          </cell>
          <cell r="I911">
            <v>6.0904874029863397E-4</v>
          </cell>
        </row>
        <row r="912">
          <cell r="A912" t="str">
            <v>D-RHES_SOLELC</v>
          </cell>
          <cell r="B912" t="str">
            <v>VAR_fout</v>
          </cell>
          <cell r="C912" t="str">
            <v>ELC5</v>
          </cell>
          <cell r="D912">
            <v>0.32515590607442191</v>
          </cell>
          <cell r="E912">
            <v>1.8793448050025403</v>
          </cell>
          <cell r="F912">
            <v>2.2728915399018077</v>
          </cell>
          <cell r="G912">
            <v>2.4732911762630176</v>
          </cell>
          <cell r="H912">
            <v>0.78904559192036305</v>
          </cell>
          <cell r="I912">
            <v>6.0771432585081722E-4</v>
          </cell>
        </row>
        <row r="913">
          <cell r="A913" t="str">
            <v>D-RHES_SOLELC</v>
          </cell>
          <cell r="B913" t="str">
            <v>VAR_fin</v>
          </cell>
          <cell r="C913" t="str">
            <v>RHES_SOL_ELC</v>
          </cell>
          <cell r="D913">
            <v>2.1349390887346629</v>
          </cell>
          <cell r="E913">
            <v>3.3906652547051479</v>
          </cell>
          <cell r="F913">
            <v>4.0043824655963709</v>
          </cell>
          <cell r="G913">
            <v>4.3439001242059661</v>
          </cell>
          <cell r="H913">
            <v>1.5312749404069834</v>
          </cell>
          <cell r="I913">
            <v>1.2167630661494516E-3</v>
          </cell>
        </row>
        <row r="914">
          <cell r="A914" t="str">
            <v>D-DH2</v>
          </cell>
          <cell r="B914" t="str">
            <v>VAR_fout</v>
          </cell>
          <cell r="C914" t="str">
            <v>H2</v>
          </cell>
          <cell r="G914">
            <v>1.3084518732305474E-6</v>
          </cell>
          <cell r="H914">
            <v>1.1601427794937578E-3</v>
          </cell>
          <cell r="I914">
            <v>1.4644650197779556E-3</v>
          </cell>
        </row>
        <row r="915">
          <cell r="A915" t="str">
            <v>D-DH2</v>
          </cell>
          <cell r="B915" t="str">
            <v>VAR_fin</v>
          </cell>
          <cell r="C915" t="str">
            <v>H2_E</v>
          </cell>
          <cell r="G915">
            <v>1.3216685588187349E-6</v>
          </cell>
          <cell r="H915">
            <v>1.1718613934280377E-3</v>
          </cell>
          <cell r="I915">
            <v>1.4792575957353084E-3</v>
          </cell>
        </row>
        <row r="916">
          <cell r="A916" t="str">
            <v>D-DH2</v>
          </cell>
          <cell r="B916" t="str">
            <v>VAR_ncap</v>
          </cell>
          <cell r="C916" t="str">
            <v>-</v>
          </cell>
          <cell r="G916">
            <v>3.2740771332749999E-5</v>
          </cell>
          <cell r="H916">
            <v>1.9086199716233701E-4</v>
          </cell>
          <cell r="I916">
            <v>7.6013390606173398E-6</v>
          </cell>
        </row>
        <row r="917">
          <cell r="A917" t="str">
            <v>D-DH2</v>
          </cell>
          <cell r="B917" t="str">
            <v>VAR_cap</v>
          </cell>
          <cell r="C917" t="str">
            <v>-</v>
          </cell>
          <cell r="G917">
            <v>3.2740771332749999E-5</v>
          </cell>
          <cell r="H917">
            <v>2.6420295755738701E-4</v>
          </cell>
          <cell r="I917">
            <v>2.7180429661800501E-4</v>
          </cell>
        </row>
        <row r="918">
          <cell r="A918" t="str">
            <v>ITOT-SWHHFOBR</v>
          </cell>
          <cell r="B918" t="str">
            <v>VAR_fout</v>
          </cell>
          <cell r="C918" t="str">
            <v>ITOT-SWH</v>
          </cell>
          <cell r="D918">
            <v>1.8458344025236404</v>
          </cell>
          <cell r="E918">
            <v>1.7611512323629284</v>
          </cell>
          <cell r="F918">
            <v>2.2027322106444327E-3</v>
          </cell>
          <cell r="G918">
            <v>4.0444082299843036E-4</v>
          </cell>
          <cell r="H918">
            <v>4.8928346258002655E-4</v>
          </cell>
        </row>
        <row r="919">
          <cell r="A919" t="str">
            <v>ITOT-SWHHFOBR</v>
          </cell>
          <cell r="B919" t="str">
            <v>VAR_fout</v>
          </cell>
          <cell r="C919" t="str">
            <v>CO2_I</v>
          </cell>
          <cell r="D919">
            <v>210.21149786551399</v>
          </cell>
          <cell r="E919">
            <v>199.70347528450901</v>
          </cell>
          <cell r="F919">
            <v>0.24817248134558201</v>
          </cell>
          <cell r="G919">
            <v>4.5084246646223798E-2</v>
          </cell>
          <cell r="H919">
            <v>5.3411060242653997E-2</v>
          </cell>
        </row>
        <row r="920">
          <cell r="A920" t="str">
            <v>ITOT-SWHHFOBR</v>
          </cell>
          <cell r="B920" t="str">
            <v>VAR_fin</v>
          </cell>
          <cell r="C920" t="str">
            <v>IHFO</v>
          </cell>
          <cell r="D920">
            <v>2.7300194527988766</v>
          </cell>
          <cell r="E920">
            <v>2.5935516270715397</v>
          </cell>
          <cell r="F920">
            <v>3.2230192382543166E-3</v>
          </cell>
          <cell r="G920">
            <v>5.8550969670420605E-4</v>
          </cell>
          <cell r="H920">
            <v>6.9365013302147998E-4</v>
          </cell>
        </row>
        <row r="921">
          <cell r="A921" t="str">
            <v>ITOT-SWHHFOBR</v>
          </cell>
          <cell r="B921" t="str">
            <v>VAR_ncap</v>
          </cell>
          <cell r="C921" t="str">
            <v>-</v>
          </cell>
          <cell r="D921">
            <v>3.8413221661517803E-4</v>
          </cell>
          <cell r="E921">
            <v>1.23685065921729E-5</v>
          </cell>
          <cell r="F921">
            <v>1.13446440521581E-5</v>
          </cell>
          <cell r="G921">
            <v>1.6318143782949501E-5</v>
          </cell>
          <cell r="H921">
            <v>1.08342798529345E-5</v>
          </cell>
          <cell r="I921">
            <v>2.3747040957088798E-6</v>
          </cell>
        </row>
        <row r="922">
          <cell r="A922" t="str">
            <v>ITOT-SWHHFOBR</v>
          </cell>
          <cell r="B922" t="str">
            <v>VAR_cap</v>
          </cell>
          <cell r="C922" t="str">
            <v>-</v>
          </cell>
          <cell r="D922">
            <v>0.10110113221661518</v>
          </cell>
          <cell r="E922">
            <v>0.10107534159728075</v>
          </cell>
          <cell r="F922">
            <v>2.0914383726050589E-4</v>
          </cell>
          <cell r="G922">
            <v>3.8628013171462805E-5</v>
          </cell>
          <cell r="H922">
            <v>4.6530075829246599E-5</v>
          </cell>
          <cell r="I922">
            <v>-3.6001695195772012E-6</v>
          </cell>
        </row>
        <row r="923">
          <cell r="A923" t="str">
            <v>RHSA-WHSTG-ELCHP</v>
          </cell>
          <cell r="B923" t="str">
            <v>VAR_fout</v>
          </cell>
          <cell r="C923" t="str">
            <v>RHSA-WHAELCH</v>
          </cell>
          <cell r="E923">
            <v>5.9422057348615397E-7</v>
          </cell>
          <cell r="F923">
            <v>0.21940576423011257</v>
          </cell>
          <cell r="G923">
            <v>0.2478696298952566</v>
          </cell>
          <cell r="H923">
            <v>0.35578640237217052</v>
          </cell>
          <cell r="I923">
            <v>0.31478986990562696</v>
          </cell>
        </row>
        <row r="924">
          <cell r="A924" t="str">
            <v>RHSA-WHSTG-ELCHP</v>
          </cell>
          <cell r="B924" t="str">
            <v>VAR_fin</v>
          </cell>
          <cell r="C924" t="str">
            <v>RHSA-WHAELCH</v>
          </cell>
          <cell r="D924">
            <v>3.3874562852497176E-5</v>
          </cell>
          <cell r="E924">
            <v>2.3326198361753835E-5</v>
          </cell>
          <cell r="F924">
            <v>0.2194129704533086</v>
          </cell>
          <cell r="G924">
            <v>0.2478800293786137</v>
          </cell>
          <cell r="H924">
            <v>0.35580378081733699</v>
          </cell>
          <cell r="I924">
            <v>0.31481016024566039</v>
          </cell>
        </row>
        <row r="925">
          <cell r="A925" t="str">
            <v>RHSA-WHSTG-ELCHP</v>
          </cell>
          <cell r="B925" t="str">
            <v>VAR_ncap</v>
          </cell>
          <cell r="C925" t="str">
            <v>-</v>
          </cell>
          <cell r="D925">
            <v>6.3251719556682399E-3</v>
          </cell>
          <cell r="E925">
            <v>5.1625443249984103E-2</v>
          </cell>
          <cell r="F925">
            <v>1.5957101280883401E-2</v>
          </cell>
          <cell r="G925">
            <v>3.4757170625874197E-2</v>
          </cell>
          <cell r="H925">
            <v>7.7490993282593096E-2</v>
          </cell>
          <cell r="I925">
            <v>0.13412677469548601</v>
          </cell>
        </row>
        <row r="926">
          <cell r="A926" t="str">
            <v>RHSA-WHSTG-ELCHP</v>
          </cell>
          <cell r="B926" t="str">
            <v>VAR_cap</v>
          </cell>
          <cell r="C926" t="str">
            <v>-</v>
          </cell>
          <cell r="D926">
            <v>6.3264114850713283E-3</v>
          </cell>
          <cell r="E926">
            <v>5.7914286859225117E-2</v>
          </cell>
          <cell r="F926">
            <v>7.3853147565056315E-2</v>
          </cell>
          <cell r="G926">
            <v>0.10859398405390407</v>
          </cell>
          <cell r="H926">
            <v>0.16499866546393008</v>
          </cell>
          <cell r="I926">
            <v>0.21612665532047187</v>
          </cell>
        </row>
        <row r="927">
          <cell r="A927" t="str">
            <v>RES-ELCSPECADV</v>
          </cell>
          <cell r="B927" t="str">
            <v>VAR_ncap</v>
          </cell>
          <cell r="C927" t="str">
            <v>-</v>
          </cell>
          <cell r="F927">
            <v>1.1476347001762399E-7</v>
          </cell>
          <cell r="G927">
            <v>1.70285851138738E-7</v>
          </cell>
          <cell r="H927">
            <v>1.12979680951745E-7</v>
          </cell>
          <cell r="I927">
            <v>1.5746458583345399E-7</v>
          </cell>
        </row>
        <row r="928">
          <cell r="A928" t="str">
            <v>RES-ELCSPECADV</v>
          </cell>
          <cell r="B928" t="str">
            <v>VAR_cap</v>
          </cell>
          <cell r="C928" t="str">
            <v>-</v>
          </cell>
          <cell r="F928">
            <v>1.1476347001762399E-7</v>
          </cell>
          <cell r="G928">
            <v>2.1006235574470762E-7</v>
          </cell>
          <cell r="H928">
            <v>7.9546711188101005E-8</v>
          </cell>
          <cell r="I928">
            <v>1.0453279360697943E-8</v>
          </cell>
        </row>
        <row r="929">
          <cell r="A929" t="str">
            <v>ITOT-SWHSTG-ELCHP</v>
          </cell>
          <cell r="B929" t="str">
            <v>VAR_fout</v>
          </cell>
          <cell r="C929" t="str">
            <v>ITOT-SWHAELCH</v>
          </cell>
          <cell r="D929">
            <v>2.0265126677698511E-4</v>
          </cell>
          <cell r="E929">
            <v>4.7198292601456496E-5</v>
          </cell>
          <cell r="F929">
            <v>4.1226707415203019E-3</v>
          </cell>
          <cell r="G929">
            <v>9.3449440963720958E-4</v>
          </cell>
          <cell r="H929">
            <v>1.478133076289551E-3</v>
          </cell>
          <cell r="I929">
            <v>1.4690319868245626E-3</v>
          </cell>
        </row>
        <row r="930">
          <cell r="A930" t="str">
            <v>ITOT-SWHSTG-ELCHP</v>
          </cell>
          <cell r="B930" t="str">
            <v>VAR_fin</v>
          </cell>
          <cell r="C930" t="str">
            <v>ITOT-SWHAELCH</v>
          </cell>
          <cell r="D930">
            <v>2.7452776361841204E-4</v>
          </cell>
          <cell r="E930">
            <v>5.8176277499435214E-5</v>
          </cell>
          <cell r="F930">
            <v>5.3245708555193019E-3</v>
          </cell>
          <cell r="G930">
            <v>1.180833039705829E-3</v>
          </cell>
          <cell r="H930">
            <v>1.7611047954878846E-3</v>
          </cell>
          <cell r="I930">
            <v>1.6507434721502801E-3</v>
          </cell>
        </row>
        <row r="931">
          <cell r="A931" t="str">
            <v>ITOT-SWHSTG-ELCHP</v>
          </cell>
          <cell r="B931" t="str">
            <v>VAR_ncap</v>
          </cell>
          <cell r="C931" t="str">
            <v>-</v>
          </cell>
          <cell r="D931">
            <v>1.5787591032323699E-2</v>
          </cell>
          <cell r="E931">
            <v>2.2990817922392799E-3</v>
          </cell>
          <cell r="F931">
            <v>3.6565400125527598E-3</v>
          </cell>
          <cell r="G931">
            <v>2.79376401635483E-2</v>
          </cell>
          <cell r="H931">
            <v>1.75745624987407E-2</v>
          </cell>
          <cell r="I931">
            <v>4.8857124492974802E-2</v>
          </cell>
        </row>
        <row r="932">
          <cell r="A932" t="str">
            <v>ITOT-SWHSTG-ELCHP</v>
          </cell>
          <cell r="B932" t="str">
            <v>VAR_cap</v>
          </cell>
          <cell r="C932" t="str">
            <v>-</v>
          </cell>
          <cell r="D932">
            <v>1.5787591032323699E-2</v>
          </cell>
          <cell r="E932">
            <v>1.795480287865911E-2</v>
          </cell>
          <cell r="F932">
            <v>2.1582859645497183E-2</v>
          </cell>
          <cell r="G932">
            <v>4.9550626366169935E-2</v>
          </cell>
          <cell r="H932">
            <v>7.5401550695667341E-2</v>
          </cell>
          <cell r="I932">
            <v>7.7709245436511823E-2</v>
          </cell>
        </row>
        <row r="933">
          <cell r="A933" t="str">
            <v>D-RHNS_LTH_CHPWOD</v>
          </cell>
          <cell r="B933" t="str">
            <v>VAR_fout</v>
          </cell>
          <cell r="C933" t="str">
            <v>RHNS_LTH_CHPWOD_ON</v>
          </cell>
          <cell r="D933">
            <v>4.0180159126568135E-5</v>
          </cell>
          <cell r="E933">
            <v>3.2565357849670629E-5</v>
          </cell>
          <cell r="F933">
            <v>1.2374289238765165E-5</v>
          </cell>
          <cell r="H933">
            <v>2.8814474168165798E-4</v>
          </cell>
        </row>
        <row r="934">
          <cell r="A934" t="str">
            <v>D-RHNS_LTH_CHPWOD</v>
          </cell>
          <cell r="B934" t="str">
            <v>VAR_fout</v>
          </cell>
          <cell r="C934" t="str">
            <v>RHSA_LTH</v>
          </cell>
          <cell r="D934">
            <v>7.3310993740690879E-5</v>
          </cell>
          <cell r="E934">
            <v>6.8373640354939217E-5</v>
          </cell>
          <cell r="F934">
            <v>3.3510432532551241E-5</v>
          </cell>
          <cell r="G934">
            <v>1.0066220270548139E-3</v>
          </cell>
          <cell r="H934">
            <v>4.6573607562623435E-4</v>
          </cell>
          <cell r="I934">
            <v>3.8600018496784074E-4</v>
          </cell>
        </row>
        <row r="935">
          <cell r="A935" t="str">
            <v>D-RHNS_LTH_CHPWOD</v>
          </cell>
          <cell r="B935" t="str">
            <v>VAR_fin</v>
          </cell>
          <cell r="C935" t="str">
            <v>RHNS_LTH_CHPWOD</v>
          </cell>
          <cell r="D935">
            <v>1.1349115286725907E-4</v>
          </cell>
          <cell r="E935">
            <v>1.0273086255840375E-4</v>
          </cell>
          <cell r="F935">
            <v>4.7143293415514398E-5</v>
          </cell>
          <cell r="G935">
            <v>1.0073589433746491E-3</v>
          </cell>
          <cell r="H935">
            <v>7.5504329106587447E-4</v>
          </cell>
          <cell r="I935">
            <v>3.8694620327056557E-4</v>
          </cell>
        </row>
        <row r="936">
          <cell r="A936" t="str">
            <v>D-SBIO</v>
          </cell>
          <cell r="B936" t="str">
            <v>VAR_fout</v>
          </cell>
          <cell r="C936" t="str">
            <v>SBIO</v>
          </cell>
          <cell r="D936">
            <v>4.0476936330609803</v>
          </cell>
          <cell r="E936">
            <v>4.5833927610403133</v>
          </cell>
          <cell r="F936">
            <v>3.0429674361159353</v>
          </cell>
          <cell r="G936">
            <v>3.0323172320813758</v>
          </cell>
          <cell r="H936">
            <v>2.9499449547139158</v>
          </cell>
          <cell r="I936">
            <v>2.8714667610033597</v>
          </cell>
        </row>
        <row r="937">
          <cell r="A937" t="str">
            <v>D-SBIO</v>
          </cell>
          <cell r="B937" t="str">
            <v>VAR_fin</v>
          </cell>
          <cell r="C937" t="str">
            <v>BIO</v>
          </cell>
          <cell r="D937">
            <v>4.0476936330609803</v>
          </cell>
          <cell r="E937">
            <v>4.5833927610403133</v>
          </cell>
          <cell r="F937">
            <v>3.0429674361159353</v>
          </cell>
          <cell r="G937">
            <v>3.0323172320813758</v>
          </cell>
          <cell r="H937">
            <v>2.9499449547139158</v>
          </cell>
          <cell r="I937">
            <v>2.8714667610033597</v>
          </cell>
        </row>
        <row r="938">
          <cell r="A938" t="str">
            <v>RHEM-SHDEM</v>
          </cell>
          <cell r="B938" t="str">
            <v>VAR_fout</v>
          </cell>
          <cell r="C938" t="str">
            <v>RHEM-SHD</v>
          </cell>
          <cell r="D938">
            <v>66.986774791699034</v>
          </cell>
          <cell r="E938">
            <v>66.782026660973159</v>
          </cell>
          <cell r="F938">
            <v>66.558964877450649</v>
          </cell>
          <cell r="G938">
            <v>65.190088529879063</v>
          </cell>
          <cell r="H938">
            <v>62.487632735667482</v>
          </cell>
          <cell r="I938">
            <v>60.757971450348279</v>
          </cell>
        </row>
        <row r="939">
          <cell r="A939" t="str">
            <v>RHEM-SHDEM</v>
          </cell>
          <cell r="B939" t="str">
            <v>VAR_fin</v>
          </cell>
          <cell r="C939" t="str">
            <v>RHEM-SHNST</v>
          </cell>
          <cell r="D939">
            <v>2.3927701377800197E-4</v>
          </cell>
          <cell r="E939">
            <v>2.4230313749513539E-5</v>
          </cell>
          <cell r="F939">
            <v>5.7404835133122453E-6</v>
          </cell>
          <cell r="G939">
            <v>6.8573855315196601E-7</v>
          </cell>
          <cell r="H939">
            <v>2.380916747598324E-6</v>
          </cell>
          <cell r="I939">
            <v>2.3238459180960171E-7</v>
          </cell>
        </row>
        <row r="940">
          <cell r="A940" t="str">
            <v>RHEM-SHDEM</v>
          </cell>
          <cell r="B940" t="str">
            <v>VAR_fin</v>
          </cell>
          <cell r="C940" t="str">
            <v>RHEM-SHPLT</v>
          </cell>
          <cell r="D940">
            <v>1.4007973535577529</v>
          </cell>
          <cell r="E940">
            <v>1.6077733415957634</v>
          </cell>
          <cell r="F940">
            <v>0.30158360305019549</v>
          </cell>
          <cell r="G940">
            <v>0.45852343965794146</v>
          </cell>
          <cell r="H940">
            <v>0.60600366919425808</v>
          </cell>
          <cell r="I940">
            <v>0.70208976178712101</v>
          </cell>
        </row>
        <row r="941">
          <cell r="A941" t="str">
            <v>RHEM-SHDEM</v>
          </cell>
          <cell r="B941" t="str">
            <v>VAR_fin</v>
          </cell>
          <cell r="C941" t="str">
            <v>RHEM-SHNGAH</v>
          </cell>
          <cell r="D941">
            <v>1.3702193085421633E-4</v>
          </cell>
          <cell r="E941">
            <v>2.419070474991775E-5</v>
          </cell>
          <cell r="F941">
            <v>2.0313788826787778</v>
          </cell>
          <cell r="G941">
            <v>4.3030160549762204</v>
          </cell>
          <cell r="H941">
            <v>6.9353560313769593</v>
          </cell>
          <cell r="I941">
            <v>9.356950477576838</v>
          </cell>
        </row>
        <row r="942">
          <cell r="A942" t="str">
            <v>RHEM-SHDEM</v>
          </cell>
          <cell r="B942" t="str">
            <v>VAR_fin</v>
          </cell>
          <cell r="C942" t="str">
            <v>RHEM-SHLTHC-WOD</v>
          </cell>
          <cell r="D942">
            <v>1.2426227086217452E-4</v>
          </cell>
          <cell r="E942">
            <v>2.0480774621611176E-5</v>
          </cell>
          <cell r="F942">
            <v>5.3484918904327361E-7</v>
          </cell>
          <cell r="G942">
            <v>2.545319265561371E-7</v>
          </cell>
          <cell r="H942">
            <v>3.8045421968302476E-7</v>
          </cell>
          <cell r="I942">
            <v>2.4261809911912637E-7</v>
          </cell>
        </row>
        <row r="943">
          <cell r="A943" t="str">
            <v>RHEM-SHDEM</v>
          </cell>
          <cell r="B943" t="str">
            <v>VAR_fin</v>
          </cell>
          <cell r="C943" t="str">
            <v>RHEM-SHSOL</v>
          </cell>
          <cell r="D943">
            <v>0.40818843252502274</v>
          </cell>
          <cell r="E943">
            <v>0.47091012016373623</v>
          </cell>
          <cell r="F943">
            <v>9.1773544312076655E-3</v>
          </cell>
          <cell r="G943">
            <v>1.134376604299117E-2</v>
          </cell>
          <cell r="H943">
            <v>1.3009738312081272E-2</v>
          </cell>
          <cell r="I943">
            <v>1.331007310435757E-2</v>
          </cell>
        </row>
        <row r="944">
          <cell r="A944" t="str">
            <v>RHEM-SHDEM</v>
          </cell>
          <cell r="B944" t="str">
            <v>VAR_fin</v>
          </cell>
          <cell r="C944" t="str">
            <v>RHEM-SHLTHD</v>
          </cell>
          <cell r="D944">
            <v>3.3914232059209364</v>
          </cell>
          <cell r="E944">
            <v>3.7886986913048748</v>
          </cell>
          <cell r="F944">
            <v>4.3879744730581915</v>
          </cell>
          <cell r="G944">
            <v>4.8600553165150542</v>
          </cell>
          <cell r="H944">
            <v>5.0634561302474115</v>
          </cell>
          <cell r="I944">
            <v>5.1582973876155966</v>
          </cell>
        </row>
        <row r="945">
          <cell r="A945" t="str">
            <v>RHEM-SHDEM</v>
          </cell>
          <cell r="B945" t="str">
            <v>VAR_fin</v>
          </cell>
          <cell r="C945" t="str">
            <v>RHEM-SHNGA</v>
          </cell>
          <cell r="D945">
            <v>18.998930914701511</v>
          </cell>
          <cell r="E945">
            <v>19.206140830093826</v>
          </cell>
          <cell r="F945">
            <v>22.044951250023345</v>
          </cell>
          <cell r="G945">
            <v>18.70260087727419</v>
          </cell>
          <cell r="H945">
            <v>11.436977502069444</v>
          </cell>
          <cell r="I945">
            <v>5.2044505942425179</v>
          </cell>
        </row>
        <row r="946">
          <cell r="A946" t="str">
            <v>RHEM-SHDEM</v>
          </cell>
          <cell r="B946" t="str">
            <v>VAR_fin</v>
          </cell>
          <cell r="C946" t="str">
            <v>RHEM-SHELCB</v>
          </cell>
          <cell r="D946">
            <v>4.627624349622649</v>
          </cell>
          <cell r="E946">
            <v>2.8094819835032645</v>
          </cell>
          <cell r="F946">
            <v>3.7062789908597654E-2</v>
          </cell>
          <cell r="G946">
            <v>1.2803079181964246E-2</v>
          </cell>
          <cell r="H946">
            <v>4.2280262784578629E-3</v>
          </cell>
          <cell r="I946">
            <v>3.6186203618048286E-3</v>
          </cell>
        </row>
        <row r="947">
          <cell r="A947" t="str">
            <v>RHEM-SHDEM</v>
          </cell>
          <cell r="B947" t="str">
            <v>VAR_fin</v>
          </cell>
          <cell r="C947" t="str">
            <v>RHEM-SHELCH</v>
          </cell>
          <cell r="D947">
            <v>9.9020905923825087</v>
          </cell>
          <cell r="E947">
            <v>11.655166810099375</v>
          </cell>
          <cell r="F947">
            <v>9.5870848963704702</v>
          </cell>
          <cell r="G947">
            <v>13.090115404229246</v>
          </cell>
          <cell r="H947">
            <v>17.081759207274487</v>
          </cell>
          <cell r="I947">
            <v>20.914070901779123</v>
          </cell>
        </row>
        <row r="948">
          <cell r="A948" t="str">
            <v>RHEM-SHDEM</v>
          </cell>
          <cell r="B948" t="str">
            <v>VAR_fin</v>
          </cell>
          <cell r="C948" t="str">
            <v>RHEM-SHLFO</v>
          </cell>
          <cell r="D948">
            <v>23.44323384774118</v>
          </cell>
          <cell r="E948">
            <v>19.079483259898577</v>
          </cell>
          <cell r="F948">
            <v>20.307410192604944</v>
          </cell>
          <cell r="G948">
            <v>13.678787327533774</v>
          </cell>
          <cell r="H948">
            <v>7.6692906316098899</v>
          </cell>
          <cell r="I948">
            <v>2.543390669498407</v>
          </cell>
        </row>
        <row r="949">
          <cell r="A949" t="str">
            <v>RHEM-SHDEM</v>
          </cell>
          <cell r="B949" t="str">
            <v>VAR_fin</v>
          </cell>
          <cell r="C949" t="str">
            <v>RHEM-SHCON</v>
          </cell>
          <cell r="D949">
            <v>2.3836324548346721E-2</v>
          </cell>
          <cell r="E949">
            <v>4.1100455822693682</v>
          </cell>
          <cell r="F949">
            <v>2.8620928190282271</v>
          </cell>
          <cell r="G949">
            <v>5.1410474124416714</v>
          </cell>
          <cell r="H949">
            <v>9.376011414680649</v>
          </cell>
          <cell r="I949">
            <v>13.226528799544443</v>
          </cell>
        </row>
        <row r="950">
          <cell r="A950" t="str">
            <v>RHEM-SHDEM</v>
          </cell>
          <cell r="B950" t="str">
            <v>VAR_fin</v>
          </cell>
          <cell r="C950" t="str">
            <v>RHEM-SHWOD</v>
          </cell>
          <cell r="D950">
            <v>4.7435221459259056</v>
          </cell>
          <cell r="E950">
            <v>4.0526109920060147</v>
          </cell>
          <cell r="F950">
            <v>4.9913069020616305</v>
          </cell>
          <cell r="G950">
            <v>4.9326136929842237</v>
          </cell>
          <cell r="H950">
            <v>4.3023452506134374</v>
          </cell>
          <cell r="I950">
            <v>3.6359365477924097</v>
          </cell>
        </row>
        <row r="951">
          <cell r="A951" t="str">
            <v>RHEM-SHDEM</v>
          </cell>
          <cell r="B951" t="str">
            <v>VAR_fin</v>
          </cell>
          <cell r="C951" t="str">
            <v>RHEM-SHLTHC-NGA</v>
          </cell>
          <cell r="D951">
            <v>4.7598455992792721E-2</v>
          </cell>
          <cell r="E951">
            <v>2.580757832605494E-3</v>
          </cell>
          <cell r="F951">
            <v>4.6395666377015984E-7</v>
          </cell>
          <cell r="G951">
            <v>2.5706403786466891E-6</v>
          </cell>
          <cell r="H951">
            <v>3.2429443267490869E-7</v>
          </cell>
          <cell r="I951">
            <v>2.4224904725125096E-7</v>
          </cell>
        </row>
        <row r="952">
          <cell r="A952" t="str">
            <v>ITOT-SWHH2BR</v>
          </cell>
          <cell r="B952" t="str">
            <v>VAR_fout</v>
          </cell>
          <cell r="C952" t="str">
            <v>ITOT-SWH</v>
          </cell>
          <cell r="G952">
            <v>1.928070350422293E-2</v>
          </cell>
          <cell r="H952">
            <v>0.16766070507818442</v>
          </cell>
          <cell r="I952">
            <v>0.16897124600942887</v>
          </cell>
        </row>
        <row r="953">
          <cell r="A953" t="str">
            <v>ITOT-SWHH2BR</v>
          </cell>
          <cell r="B953" t="str">
            <v>VAR_fin</v>
          </cell>
          <cell r="C953" t="str">
            <v>IH2</v>
          </cell>
          <cell r="G953">
            <v>2.3951085367564452E-2</v>
          </cell>
          <cell r="H953">
            <v>0.2073657640575895</v>
          </cell>
          <cell r="I953">
            <v>0.20807996513168006</v>
          </cell>
        </row>
        <row r="954">
          <cell r="A954" t="str">
            <v>ITOT-SWHH2BR</v>
          </cell>
          <cell r="B954" t="str">
            <v>VAR_ncap</v>
          </cell>
          <cell r="C954" t="str">
            <v>-</v>
          </cell>
          <cell r="G954">
            <v>1.4728378373784401E-3</v>
          </cell>
          <cell r="H954">
            <v>9.0621234100670995E-4</v>
          </cell>
          <cell r="I954">
            <v>7.4268508435420804E-3</v>
          </cell>
        </row>
        <row r="955">
          <cell r="A955" t="str">
            <v>ITOT-SWHH2BR</v>
          </cell>
          <cell r="B955" t="str">
            <v>VAR_cap</v>
          </cell>
          <cell r="C955" t="str">
            <v>-</v>
          </cell>
          <cell r="G955">
            <v>1.4728378373784401E-3</v>
          </cell>
          <cell r="H955">
            <v>1.3179678112547274E-2</v>
          </cell>
          <cell r="I955">
            <v>1.2855015677835389E-2</v>
          </cell>
        </row>
        <row r="956">
          <cell r="A956" t="str">
            <v>RHNS-SHSTG-ELC</v>
          </cell>
          <cell r="B956" t="str">
            <v>VAR_fout</v>
          </cell>
          <cell r="C956" t="str">
            <v>RHNS-SHAELCB</v>
          </cell>
          <cell r="E956">
            <v>7.7699573068312181E-6</v>
          </cell>
          <cell r="F956">
            <v>1.2897873400722056E-3</v>
          </cell>
          <cell r="G956">
            <v>3.4016060423622892E-3</v>
          </cell>
          <cell r="H956">
            <v>5.275191111632823E-3</v>
          </cell>
          <cell r="I956">
            <v>3.6835519829850091E-3</v>
          </cell>
        </row>
        <row r="957">
          <cell r="A957" t="str">
            <v>RHNS-SHSTG-ELC</v>
          </cell>
          <cell r="B957" t="str">
            <v>VAR_fin</v>
          </cell>
          <cell r="C957" t="str">
            <v>RHNS-SHAELCB</v>
          </cell>
          <cell r="E957">
            <v>1.3197861370126867E-6</v>
          </cell>
          <cell r="F957">
            <v>1.2809248037631571E-3</v>
          </cell>
          <cell r="G957">
            <v>3.39459584924008E-3</v>
          </cell>
          <cell r="H957">
            <v>5.2748241211000996E-3</v>
          </cell>
          <cell r="I957">
            <v>3.6878372130871701E-3</v>
          </cell>
        </row>
        <row r="958">
          <cell r="A958" t="str">
            <v>RHNS-SHSTG-ELC</v>
          </cell>
          <cell r="B958" t="str">
            <v>VAR_ncap</v>
          </cell>
          <cell r="C958" t="str">
            <v>-</v>
          </cell>
          <cell r="D958">
            <v>2.7915276264214199E-5</v>
          </cell>
          <cell r="E958">
            <v>7.6239086286828797E-5</v>
          </cell>
          <cell r="F958">
            <v>8.1413451805630998E-4</v>
          </cell>
          <cell r="G958">
            <v>2.38713646543041E-5</v>
          </cell>
          <cell r="H958">
            <v>2.48815198595149E-4</v>
          </cell>
          <cell r="I958">
            <v>2.2056033377187299E-5</v>
          </cell>
        </row>
        <row r="959">
          <cell r="A959" t="str">
            <v>RHNS-SHSTG-ELC</v>
          </cell>
          <cell r="B959" t="str">
            <v>VAR_cap</v>
          </cell>
          <cell r="C959" t="str">
            <v>-</v>
          </cell>
          <cell r="D959">
            <v>2.7915276264214199E-5</v>
          </cell>
          <cell r="E959">
            <v>9.691532858660888E-5</v>
          </cell>
          <cell r="F959">
            <v>9.0283876326098869E-4</v>
          </cell>
          <cell r="G959">
            <v>9.0356811594467345E-4</v>
          </cell>
          <cell r="H959">
            <v>1.0072064681541869E-3</v>
          </cell>
          <cell r="I959">
            <v>4.277438530844539E-4</v>
          </cell>
        </row>
        <row r="960">
          <cell r="A960" t="str">
            <v>RHES-SHCOABR</v>
          </cell>
          <cell r="B960" t="str">
            <v>VAR_fout</v>
          </cell>
          <cell r="C960" t="str">
            <v>CO2_R</v>
          </cell>
          <cell r="D960">
            <v>9.2703674609388091</v>
          </cell>
          <cell r="E960">
            <v>9.2702427911698706</v>
          </cell>
          <cell r="F960">
            <v>2.4987500003717402</v>
          </cell>
          <cell r="G960">
            <v>0.56198255957779597</v>
          </cell>
        </row>
        <row r="961">
          <cell r="A961" t="str">
            <v>RHES-SHCOABR</v>
          </cell>
          <cell r="B961" t="str">
            <v>VAR_fout</v>
          </cell>
          <cell r="C961" t="str">
            <v>RHES-SHCOA</v>
          </cell>
          <cell r="D961">
            <v>7.2002854065544297E-2</v>
          </cell>
          <cell r="E961">
            <v>7.2001885756659251E-2</v>
          </cell>
          <cell r="F961">
            <v>2.1545335069236466E-2</v>
          </cell>
          <cell r="G961">
            <v>4.849364689341505E-3</v>
          </cell>
        </row>
        <row r="962">
          <cell r="A962" t="str">
            <v>RHES-SHCOABR</v>
          </cell>
          <cell r="B962" t="str">
            <v>VAR_fin</v>
          </cell>
          <cell r="C962" t="str">
            <v>RCOA</v>
          </cell>
          <cell r="D962">
            <v>0.10000396397992256</v>
          </cell>
          <cell r="E962">
            <v>0.10000261910647119</v>
          </cell>
          <cell r="F962">
            <v>2.6955231934970274E-2</v>
          </cell>
          <cell r="G962">
            <v>6.0623792834713728E-3</v>
          </cell>
        </row>
        <row r="963">
          <cell r="A963" t="str">
            <v>RHES-SHCOABR</v>
          </cell>
          <cell r="B963" t="str">
            <v>VAR_cap</v>
          </cell>
          <cell r="C963" t="str">
            <v>-</v>
          </cell>
          <cell r="D963">
            <v>7.0000000000000001E-3</v>
          </cell>
          <cell r="E963">
            <v>6.6438290913223234E-3</v>
          </cell>
          <cell r="F963">
            <v>2.4056485982355104E-3</v>
          </cell>
          <cell r="G963">
            <v>6.1953715812407013E-4</v>
          </cell>
        </row>
        <row r="964">
          <cell r="A964" t="str">
            <v>D-INGA</v>
          </cell>
          <cell r="B964" t="str">
            <v>VAR_fout</v>
          </cell>
          <cell r="C964" t="str">
            <v>CO2</v>
          </cell>
          <cell r="D964">
            <v>2101.66037881376</v>
          </cell>
          <cell r="E964">
            <v>1700.0385497565301</v>
          </cell>
          <cell r="F964">
            <v>1855.82093028534</v>
          </cell>
          <cell r="G964">
            <v>1668.16340155683</v>
          </cell>
          <cell r="H964">
            <v>1426.1212652803599</v>
          </cell>
          <cell r="I964">
            <v>1050.8783012149399</v>
          </cell>
        </row>
        <row r="965">
          <cell r="A965" t="str">
            <v>D-INGA</v>
          </cell>
          <cell r="B965" t="str">
            <v>VAR_fout</v>
          </cell>
          <cell r="C965" t="str">
            <v>IH2</v>
          </cell>
          <cell r="G965">
            <v>2.0406037286472788E-2</v>
          </cell>
          <cell r="H965">
            <v>0.16457928006302489</v>
          </cell>
          <cell r="I965">
            <v>0.12903705357638753</v>
          </cell>
        </row>
        <row r="966">
          <cell r="A966" t="str">
            <v>D-INGA</v>
          </cell>
          <cell r="B966" t="str">
            <v>VAR_fout</v>
          </cell>
          <cell r="C966" t="str">
            <v>INGA</v>
          </cell>
          <cell r="D966">
            <v>37.473517315294444</v>
          </cell>
          <cell r="E966">
            <v>30.046591256912151</v>
          </cell>
          <cell r="F966">
            <v>33.704913816987265</v>
          </cell>
          <cell r="G966">
            <v>32.125696162048008</v>
          </cell>
          <cell r="H966">
            <v>27.847388830166523</v>
          </cell>
          <cell r="I966">
            <v>21.215435552027344</v>
          </cell>
        </row>
        <row r="967">
          <cell r="A967" t="str">
            <v>D-INGA</v>
          </cell>
          <cell r="B967" t="str">
            <v>VAR_fin</v>
          </cell>
          <cell r="C967" t="str">
            <v>NGA</v>
          </cell>
          <cell r="D967">
            <v>37.26348189386102</v>
          </cell>
          <cell r="E967">
            <v>30.142527477952704</v>
          </cell>
          <cell r="F967">
            <v>32.904626423498897</v>
          </cell>
          <cell r="G967">
            <v>29.577365275830321</v>
          </cell>
          <cell r="H967">
            <v>25.285838036885767</v>
          </cell>
          <cell r="I967">
            <v>18.63259399317263</v>
          </cell>
        </row>
        <row r="968">
          <cell r="A968" t="str">
            <v>D-INGA</v>
          </cell>
          <cell r="B968" t="str">
            <v>VAR_fin</v>
          </cell>
          <cell r="C968" t="str">
            <v>BNGA</v>
          </cell>
          <cell r="D968">
            <v>0.32974905388242864</v>
          </cell>
          <cell r="E968">
            <v>5.7981873990979543E-5</v>
          </cell>
          <cell r="F968">
            <v>0.90796177138208645</v>
          </cell>
          <cell r="G968">
            <v>2.6510380657823656</v>
          </cell>
          <cell r="H968">
            <v>2.6510428934156205</v>
          </cell>
          <cell r="I968">
            <v>2.651052562890726</v>
          </cell>
        </row>
        <row r="969">
          <cell r="A969" t="str">
            <v>D-INGA</v>
          </cell>
          <cell r="B969" t="str">
            <v>VAR_fin</v>
          </cell>
          <cell r="C969" t="str">
            <v>H2</v>
          </cell>
          <cell r="G969">
            <v>2.0404272558941023E-2</v>
          </cell>
          <cell r="H969">
            <v>0.16456973562123492</v>
          </cell>
          <cell r="I969">
            <v>0.12902750913438518</v>
          </cell>
        </row>
        <row r="970">
          <cell r="A970" t="str">
            <v>D-INGA</v>
          </cell>
          <cell r="B970" t="str">
            <v>VAR_ncap</v>
          </cell>
          <cell r="C970" t="str">
            <v>-</v>
          </cell>
          <cell r="D970">
            <v>8.04505053450423E-7</v>
          </cell>
          <cell r="E970">
            <v>3.7094133772627701E-7</v>
          </cell>
          <cell r="F970">
            <v>4.6653414483232102E-7</v>
          </cell>
          <cell r="G970">
            <v>6.5808292464419396E-7</v>
          </cell>
          <cell r="H970">
            <v>1.3841552841750099E-6</v>
          </cell>
          <cell r="I970">
            <v>2.5606579562270898E-6</v>
          </cell>
        </row>
        <row r="971">
          <cell r="A971" t="str">
            <v>D-INGA</v>
          </cell>
          <cell r="B971" t="str">
            <v>VAR_cap</v>
          </cell>
          <cell r="C971" t="str">
            <v>-</v>
          </cell>
          <cell r="D971">
            <v>1.9844841747711535</v>
          </cell>
          <cell r="E971">
            <v>1.9844845457124911</v>
          </cell>
          <cell r="F971">
            <v>1.984485012246636</v>
          </cell>
          <cell r="G971">
            <v>1.9844856703295606</v>
          </cell>
          <cell r="H971">
            <v>1.9844880910597686</v>
          </cell>
          <cell r="I971">
            <v>1.0954667188975447</v>
          </cell>
        </row>
        <row r="972">
          <cell r="A972" t="str">
            <v>RHEM-SHNGAHP</v>
          </cell>
          <cell r="B972" t="str">
            <v>VAR_fout</v>
          </cell>
          <cell r="C972" t="str">
            <v>CO2_R</v>
          </cell>
          <cell r="F972">
            <v>60.506461670677403</v>
          </cell>
          <cell r="G972">
            <v>125.34107926012599</v>
          </cell>
          <cell r="H972">
            <v>197.11830523303101</v>
          </cell>
          <cell r="I972">
            <v>259.82648071285303</v>
          </cell>
        </row>
        <row r="973">
          <cell r="A973" t="str">
            <v>RHEM-SHNGAHP</v>
          </cell>
          <cell r="B973" t="str">
            <v>VAR_fout</v>
          </cell>
          <cell r="C973" t="str">
            <v>RHEM-SHANGAH</v>
          </cell>
          <cell r="F973">
            <v>2.0314232467685982</v>
          </cell>
          <cell r="G973">
            <v>4.3030567766233228</v>
          </cell>
          <cell r="H973">
            <v>6.9353726140056544</v>
          </cell>
          <cell r="I973">
            <v>9.3569745676008917</v>
          </cell>
        </row>
        <row r="974">
          <cell r="A974" t="str">
            <v>RHEM-SHNGAHP</v>
          </cell>
          <cell r="B974" t="str">
            <v>VAR_fin</v>
          </cell>
          <cell r="C974" t="str">
            <v>RHEMELCHPC</v>
          </cell>
          <cell r="F974">
            <v>2.0314232467685982</v>
          </cell>
          <cell r="G974">
            <v>4.3030567766233228</v>
          </cell>
          <cell r="H974">
            <v>6.9353726140056544</v>
          </cell>
          <cell r="I974">
            <v>9.3569745676008917</v>
          </cell>
        </row>
        <row r="975">
          <cell r="A975" t="str">
            <v>RHEM-SHNGAHP</v>
          </cell>
          <cell r="B975" t="str">
            <v>VAR_fin</v>
          </cell>
          <cell r="C975" t="str">
            <v>RNGA</v>
          </cell>
          <cell r="F975">
            <v>1.0728096040900255</v>
          </cell>
          <cell r="G975">
            <v>2.2223595613497555</v>
          </cell>
          <cell r="H975">
            <v>3.4950054119331786</v>
          </cell>
          <cell r="I975">
            <v>4.6068524949087362</v>
          </cell>
        </row>
        <row r="976">
          <cell r="A976" t="str">
            <v>RHEM-SHNGAHP</v>
          </cell>
          <cell r="B976" t="str">
            <v>VAR_ncap</v>
          </cell>
          <cell r="C976" t="str">
            <v>-</v>
          </cell>
          <cell r="D976">
            <v>8.5884377549690205E-8</v>
          </cell>
          <cell r="E976">
            <v>1.6548570681702299E-7</v>
          </cell>
          <cell r="F976">
            <v>0.143465372833703</v>
          </cell>
          <cell r="G976">
            <v>0.16039709727639001</v>
          </cell>
          <cell r="H976">
            <v>0.253423469124335</v>
          </cell>
          <cell r="I976">
            <v>0.433945587455842</v>
          </cell>
        </row>
        <row r="977">
          <cell r="A977" t="str">
            <v>RHEM-SHNGAHP</v>
          </cell>
          <cell r="B977" t="str">
            <v>VAR_cap</v>
          </cell>
          <cell r="C977" t="str">
            <v>-</v>
          </cell>
          <cell r="D977">
            <v>8.5884377549690205E-8</v>
          </cell>
          <cell r="E977">
            <v>-2.4241750762612504E-7</v>
          </cell>
          <cell r="F977">
            <v>0.14346534028229557</v>
          </cell>
          <cell r="G977">
            <v>0.30386245873310647</v>
          </cell>
          <cell r="H977">
            <v>0.48975100298230617</v>
          </cell>
          <cell r="I977">
            <v>0.66074147253603732</v>
          </cell>
        </row>
        <row r="978">
          <cell r="A978" t="str">
            <v>D-SPLT</v>
          </cell>
          <cell r="B978" t="str">
            <v>VAR_fout</v>
          </cell>
          <cell r="C978" t="str">
            <v>SPLT</v>
          </cell>
          <cell r="D978">
            <v>2.0856407848310794</v>
          </cell>
          <cell r="E978">
            <v>2.4000964474867272</v>
          </cell>
          <cell r="F978">
            <v>0.66994324270988914</v>
          </cell>
          <cell r="G978">
            <v>1.1252682394587061</v>
          </cell>
          <cell r="H978">
            <v>1.5979276510928426</v>
          </cell>
          <cell r="I978">
            <v>1.9530530208878361</v>
          </cell>
        </row>
        <row r="979">
          <cell r="A979" t="str">
            <v>D-SPLT</v>
          </cell>
          <cell r="B979" t="str">
            <v>VAR_fin</v>
          </cell>
          <cell r="C979" t="str">
            <v>PLT</v>
          </cell>
          <cell r="D979">
            <v>2.0856407848310794</v>
          </cell>
          <cell r="E979">
            <v>2.4000964474867272</v>
          </cell>
          <cell r="F979">
            <v>0.66994324270988914</v>
          </cell>
          <cell r="G979">
            <v>1.1252682394587061</v>
          </cell>
          <cell r="H979">
            <v>1.5979276510928426</v>
          </cell>
          <cell r="I979">
            <v>1.9530530208878361</v>
          </cell>
        </row>
        <row r="980">
          <cell r="A980" t="str">
            <v>RHES-SHCONBR</v>
          </cell>
          <cell r="B980" t="str">
            <v>VAR_fout</v>
          </cell>
          <cell r="C980" t="str">
            <v>RHES-SHCON</v>
          </cell>
          <cell r="F980">
            <v>7.2478897188625835E-5</v>
          </cell>
          <cell r="G980">
            <v>5.2720402575590448E-5</v>
          </cell>
          <cell r="H980">
            <v>9.4601754228585387E-5</v>
          </cell>
          <cell r="I980">
            <v>7.9568313557875053E-5</v>
          </cell>
        </row>
        <row r="981">
          <cell r="A981" t="str">
            <v>RHES-SHCONBR</v>
          </cell>
          <cell r="B981" t="str">
            <v>VAR_fin</v>
          </cell>
          <cell r="C981" t="str">
            <v>CON</v>
          </cell>
          <cell r="F981">
            <v>7.2478897188625835E-5</v>
          </cell>
          <cell r="G981">
            <v>5.2720402575590448E-5</v>
          </cell>
          <cell r="H981">
            <v>9.4601754228585387E-5</v>
          </cell>
          <cell r="I981">
            <v>7.9568313557875053E-5</v>
          </cell>
        </row>
        <row r="982">
          <cell r="A982" t="str">
            <v>RHES-SHCONBR</v>
          </cell>
          <cell r="B982" t="str">
            <v>VAR_ncap</v>
          </cell>
          <cell r="C982" t="str">
            <v>-</v>
          </cell>
          <cell r="E982">
            <v>3.3205797761126903E-8</v>
          </cell>
          <cell r="F982">
            <v>4.2476942164005598E-7</v>
          </cell>
          <cell r="G982">
            <v>7.8848570257080901E-8</v>
          </cell>
          <cell r="H982">
            <v>1.26902552149483E-7</v>
          </cell>
          <cell r="I982">
            <v>7.7737440594779598E-8</v>
          </cell>
        </row>
        <row r="983">
          <cell r="A983" t="str">
            <v>RHES-SHCONBR</v>
          </cell>
          <cell r="B983" t="str">
            <v>VAR_cap</v>
          </cell>
          <cell r="C983" t="str">
            <v>-</v>
          </cell>
          <cell r="E983">
            <v>3.3205797761126903E-8</v>
          </cell>
          <cell r="F983">
            <v>4.3303066322613543E-7</v>
          </cell>
          <cell r="G983">
            <v>4.9510390679632586E-7</v>
          </cell>
          <cell r="H983">
            <v>2.6810821125111513E-6</v>
          </cell>
          <cell r="I983">
            <v>2.8631388565124698E-6</v>
          </cell>
        </row>
        <row r="984">
          <cell r="A984" t="str">
            <v>RHSA-WHSOLBR</v>
          </cell>
          <cell r="B984" t="str">
            <v>VAR_fout</v>
          </cell>
          <cell r="C984" t="str">
            <v>RHSA-WHASOL</v>
          </cell>
          <cell r="D984">
            <v>1.721488024659851</v>
          </cell>
          <cell r="E984">
            <v>1.9867635487392341</v>
          </cell>
          <cell r="F984">
            <v>0.90515994996113947</v>
          </cell>
          <cell r="G984">
            <v>1.0747366330941632</v>
          </cell>
          <cell r="H984">
            <v>1.2918049703239249</v>
          </cell>
          <cell r="I984">
            <v>1.4999538138913724</v>
          </cell>
        </row>
        <row r="985">
          <cell r="A985" t="str">
            <v>RHSA-WHSOLBR</v>
          </cell>
          <cell r="B985" t="str">
            <v>VAR_fin</v>
          </cell>
          <cell r="C985" t="str">
            <v>SOL</v>
          </cell>
          <cell r="D985">
            <v>1.721488024659851</v>
          </cell>
          <cell r="E985">
            <v>1.9867635487392341</v>
          </cell>
          <cell r="F985">
            <v>0.90515994996113947</v>
          </cell>
          <cell r="G985">
            <v>1.0747366330941632</v>
          </cell>
          <cell r="H985">
            <v>1.2918049703239249</v>
          </cell>
          <cell r="I985">
            <v>1.4999538138913724</v>
          </cell>
        </row>
        <row r="986">
          <cell r="A986" t="str">
            <v>RHSA-WHSOLBR</v>
          </cell>
          <cell r="B986" t="str">
            <v>VAR_fin</v>
          </cell>
          <cell r="C986" t="str">
            <v>RHSASOLBRC</v>
          </cell>
          <cell r="D986">
            <v>1.721488024659851</v>
          </cell>
          <cell r="E986">
            <v>1.9867635487392341</v>
          </cell>
          <cell r="F986">
            <v>0.90515994996113947</v>
          </cell>
          <cell r="G986">
            <v>1.0747366330941632</v>
          </cell>
          <cell r="H986">
            <v>1.2918049703239249</v>
          </cell>
          <cell r="I986">
            <v>1.4999538138913724</v>
          </cell>
        </row>
        <row r="987">
          <cell r="A987" t="str">
            <v>RHSA-WHSOLBR</v>
          </cell>
          <cell r="B987" t="str">
            <v>VAR_ncap</v>
          </cell>
          <cell r="C987" t="str">
            <v>-</v>
          </cell>
          <cell r="E987">
            <v>8.2511153637304602E-2</v>
          </cell>
          <cell r="F987">
            <v>4.1801894417551302E-7</v>
          </cell>
          <cell r="G987">
            <v>9.7846269491033407E-7</v>
          </cell>
          <cell r="H987">
            <v>0.13673390524781401</v>
          </cell>
          <cell r="I987">
            <v>0.182232952175225</v>
          </cell>
        </row>
        <row r="988">
          <cell r="A988" t="str">
            <v>RHSA-WHSOLBR</v>
          </cell>
          <cell r="B988" t="str">
            <v>VAR_cap</v>
          </cell>
          <cell r="C988" t="str">
            <v>-</v>
          </cell>
          <cell r="D988">
            <v>0.25000991745774798</v>
          </cell>
          <cell r="E988">
            <v>0.33252095029283352</v>
          </cell>
          <cell r="F988">
            <v>0.33251977511541614</v>
          </cell>
          <cell r="G988">
            <v>0.33252058993640476</v>
          </cell>
          <cell r="H988">
            <v>0.29985983050672915</v>
          </cell>
          <cell r="I988">
            <v>0.3504663880745601</v>
          </cell>
        </row>
        <row r="989">
          <cell r="A989" t="str">
            <v>SCOM-SHCONBR</v>
          </cell>
          <cell r="B989" t="str">
            <v>VAR_ncap</v>
          </cell>
          <cell r="C989" t="str">
            <v>-</v>
          </cell>
          <cell r="D989">
            <v>4.0055370789372002E-8</v>
          </cell>
          <cell r="E989">
            <v>1.09995452547058E-7</v>
          </cell>
          <cell r="F989">
            <v>4.4230601903712801E-8</v>
          </cell>
          <cell r="G989">
            <v>2.0820628785245701E-8</v>
          </cell>
          <cell r="H989">
            <v>1.8731202360493299E-7</v>
          </cell>
          <cell r="I989">
            <v>3.0551565044884498E-7</v>
          </cell>
        </row>
        <row r="990">
          <cell r="A990" t="str">
            <v>SCOM-SHCONBR</v>
          </cell>
          <cell r="B990" t="str">
            <v>VAR_cap</v>
          </cell>
          <cell r="C990" t="str">
            <v>-</v>
          </cell>
          <cell r="D990">
            <v>4.0055370789372002E-8</v>
          </cell>
          <cell r="E990">
            <v>1.3840798106449088E-7</v>
          </cell>
          <cell r="F990">
            <v>1.6538202631237811E-7</v>
          </cell>
          <cell r="G990">
            <v>1.668476209146494E-7</v>
          </cell>
          <cell r="H990">
            <v>1.1024997235008188E-6</v>
          </cell>
          <cell r="I990">
            <v>1.4846804761018001E-6</v>
          </cell>
        </row>
        <row r="991">
          <cell r="A991" t="str">
            <v>RHNM-SHNGABR</v>
          </cell>
          <cell r="B991" t="str">
            <v>VAR_fout</v>
          </cell>
          <cell r="C991" t="str">
            <v>CO2_R</v>
          </cell>
          <cell r="E991">
            <v>43.099345106686897</v>
          </cell>
          <cell r="F991">
            <v>9.4970163663848108</v>
          </cell>
          <cell r="G991">
            <v>16.247087392017399</v>
          </cell>
          <cell r="H991">
            <v>21.923557113264099</v>
          </cell>
          <cell r="I991">
            <v>18.763375426842199</v>
          </cell>
        </row>
        <row r="992">
          <cell r="A992" t="str">
            <v>RHNM-SHNGABR</v>
          </cell>
          <cell r="B992" t="str">
            <v>VAR_fout</v>
          </cell>
          <cell r="C992" t="str">
            <v>RHNM-SHNGA</v>
          </cell>
          <cell r="E992">
            <v>0.72596414630057782</v>
          </cell>
          <cell r="F992">
            <v>0.1616290172758067</v>
          </cell>
          <cell r="G992">
            <v>0.27651260373136027</v>
          </cell>
          <cell r="H992">
            <v>0.37312974911478586</v>
          </cell>
          <cell r="I992">
            <v>0.31934478193451327</v>
          </cell>
        </row>
        <row r="993">
          <cell r="A993" t="str">
            <v>RHNM-SHNGABR</v>
          </cell>
          <cell r="B993" t="str">
            <v>VAR_fin</v>
          </cell>
          <cell r="C993" t="str">
            <v>RNGA</v>
          </cell>
          <cell r="E993">
            <v>0.76417278557955537</v>
          </cell>
          <cell r="F993">
            <v>0.16838681500682295</v>
          </cell>
          <cell r="G993">
            <v>0.28806892539037959</v>
          </cell>
          <cell r="H993">
            <v>0.38871555165361821</v>
          </cell>
          <cell r="I993">
            <v>0.33268396146883278</v>
          </cell>
        </row>
        <row r="994">
          <cell r="A994" t="str">
            <v>RHNM-SHNGABR</v>
          </cell>
          <cell r="B994" t="str">
            <v>VAR_ncap</v>
          </cell>
          <cell r="C994" t="str">
            <v>-</v>
          </cell>
          <cell r="E994">
            <v>5.6379284300686103E-2</v>
          </cell>
          <cell r="F994">
            <v>6.4434681265186597E-7</v>
          </cell>
          <cell r="G994">
            <v>5.1749685797358004E-7</v>
          </cell>
          <cell r="H994">
            <v>2.90378983426871E-2</v>
          </cell>
          <cell r="I994">
            <v>3.84528813103544E-3</v>
          </cell>
        </row>
        <row r="995">
          <cell r="A995" t="str">
            <v>RHNM-SHNGABR</v>
          </cell>
          <cell r="B995" t="str">
            <v>VAR_cap</v>
          </cell>
          <cell r="C995" t="str">
            <v>-</v>
          </cell>
          <cell r="E995">
            <v>5.6379284300686103E-2</v>
          </cell>
          <cell r="F995">
            <v>5.2679133731857897E-2</v>
          </cell>
          <cell r="G995">
            <v>5.2665168504152128E-2</v>
          </cell>
          <cell r="H995">
            <v>2.9044407520801983E-2</v>
          </cell>
          <cell r="I995">
            <v>2.4921463696988021E-2</v>
          </cell>
        </row>
        <row r="996">
          <cell r="A996" t="str">
            <v>RHES-SHSOLBR</v>
          </cell>
          <cell r="B996" t="str">
            <v>VAR_fout</v>
          </cell>
          <cell r="C996" t="str">
            <v>RHES-SHASOL</v>
          </cell>
          <cell r="D996">
            <v>0.37732610756439694</v>
          </cell>
          <cell r="E996">
            <v>0.43548387690951945</v>
          </cell>
          <cell r="F996">
            <v>2.1655910491296986E-2</v>
          </cell>
          <cell r="G996">
            <v>2.4476902009079933E-2</v>
          </cell>
          <cell r="H996">
            <v>2.6384172622417598E-2</v>
          </cell>
          <cell r="I996">
            <v>2.7498716748434383E-2</v>
          </cell>
        </row>
        <row r="997">
          <cell r="A997" t="str">
            <v>RHES-SHSOLBR</v>
          </cell>
          <cell r="B997" t="str">
            <v>VAR_fin</v>
          </cell>
          <cell r="C997" t="str">
            <v>SOL</v>
          </cell>
          <cell r="D997">
            <v>0.37732610756439694</v>
          </cell>
          <cell r="E997">
            <v>0.43548387690951945</v>
          </cell>
          <cell r="F997">
            <v>2.1655910491296986E-2</v>
          </cell>
          <cell r="G997">
            <v>2.4476902009079933E-2</v>
          </cell>
          <cell r="H997">
            <v>2.6384172622417598E-2</v>
          </cell>
          <cell r="I997">
            <v>2.7498716748434383E-2</v>
          </cell>
        </row>
        <row r="998">
          <cell r="A998" t="str">
            <v>RHES-SHSOLBR</v>
          </cell>
          <cell r="B998" t="str">
            <v>VAR_ncap</v>
          </cell>
          <cell r="C998" t="str">
            <v>-</v>
          </cell>
          <cell r="E998">
            <v>8.4470155329168708E-3</v>
          </cell>
          <cell r="F998">
            <v>1.4825052683959401E-7</v>
          </cell>
          <cell r="G998">
            <v>2.54616139292921E-7</v>
          </cell>
          <cell r="H998">
            <v>3.8581465447975502E-3</v>
          </cell>
          <cell r="I998">
            <v>1.2069554653861001E-3</v>
          </cell>
        </row>
        <row r="999">
          <cell r="A999" t="str">
            <v>RHES-SHSOLBR</v>
          </cell>
          <cell r="B999" t="str">
            <v>VAR_cap</v>
          </cell>
          <cell r="C999" t="str">
            <v>-</v>
          </cell>
          <cell r="D999">
            <v>5.4798678617278197E-2</v>
          </cell>
          <cell r="E999">
            <v>6.324563546247923E-2</v>
          </cell>
          <cell r="F999">
            <v>6.3243776467930182E-2</v>
          </cell>
          <cell r="G999">
            <v>6.3242824146327953E-2</v>
          </cell>
          <cell r="H999">
            <v>3.858769860586577E-3</v>
          </cell>
          <cell r="I999">
            <v>4.0071083410709533E-3</v>
          </cell>
        </row>
        <row r="1000">
          <cell r="A1000" t="str">
            <v>SCOM-SHSOLBR</v>
          </cell>
          <cell r="B1000" t="str">
            <v>VAR_fout</v>
          </cell>
          <cell r="C1000" t="str">
            <v>SCOM-SHASOL</v>
          </cell>
          <cell r="D1000">
            <v>0.62700671930761676</v>
          </cell>
          <cell r="E1000">
            <v>0.68735545931227937</v>
          </cell>
          <cell r="F1000">
            <v>0.52902670081987391</v>
          </cell>
          <cell r="G1000">
            <v>0.61605070896952618</v>
          </cell>
          <cell r="H1000">
            <v>0.74256233133239768</v>
          </cell>
          <cell r="I1000">
            <v>0.88984948267205854</v>
          </cell>
        </row>
        <row r="1001">
          <cell r="A1001" t="str">
            <v>SCOM-SHSOLBR</v>
          </cell>
          <cell r="B1001" t="str">
            <v>VAR_fin</v>
          </cell>
          <cell r="C1001" t="str">
            <v>SOL</v>
          </cell>
          <cell r="D1001">
            <v>0.62700671930761676</v>
          </cell>
          <cell r="E1001">
            <v>0.68735545931227937</v>
          </cell>
          <cell r="F1001">
            <v>0.52902670081987391</v>
          </cell>
          <cell r="G1001">
            <v>0.61605070896952618</v>
          </cell>
          <cell r="H1001">
            <v>0.74256233133239768</v>
          </cell>
          <cell r="I1001">
            <v>0.88984948267205854</v>
          </cell>
        </row>
        <row r="1002">
          <cell r="A1002" t="str">
            <v>SCOM-SHSOLBR</v>
          </cell>
          <cell r="B1002" t="str">
            <v>VAR_ncap</v>
          </cell>
          <cell r="C1002" t="str">
            <v>-</v>
          </cell>
          <cell r="D1002">
            <v>1.48488419518933E-5</v>
          </cell>
          <cell r="E1002">
            <v>8.7601829212144502E-3</v>
          </cell>
          <cell r="F1002">
            <v>4.1831074647327701E-7</v>
          </cell>
          <cell r="G1002">
            <v>8.7967963315821299E-7</v>
          </cell>
          <cell r="H1002">
            <v>3.6229697282350599E-2</v>
          </cell>
          <cell r="I1002">
            <v>7.31602709030445E-2</v>
          </cell>
        </row>
        <row r="1003">
          <cell r="A1003" t="str">
            <v>SCOM-SHSOLBR</v>
          </cell>
          <cell r="B1003" t="str">
            <v>VAR_cap</v>
          </cell>
          <cell r="C1003" t="str">
            <v>-</v>
          </cell>
          <cell r="D1003">
            <v>9.1072442318031396E-2</v>
          </cell>
          <cell r="E1003">
            <v>9.9832527435201296E-2</v>
          </cell>
          <cell r="F1003">
            <v>9.9831019491138373E-2</v>
          </cell>
          <cell r="G1003">
            <v>9.9831107037747641E-2</v>
          </cell>
          <cell r="H1003">
            <v>0.10788020417055551</v>
          </cell>
          <cell r="I1003">
            <v>0.12976083147739498</v>
          </cell>
        </row>
        <row r="1004">
          <cell r="A1004" t="str">
            <v>RHEM-SHSTG-ELCHP</v>
          </cell>
          <cell r="B1004" t="str">
            <v>VAR_fout</v>
          </cell>
          <cell r="C1004" t="str">
            <v>RHEM-SHAELCH</v>
          </cell>
          <cell r="D1004">
            <v>6.8030126061267491E-7</v>
          </cell>
          <cell r="E1004">
            <v>1.5188856588052397E-6</v>
          </cell>
          <cell r="F1004">
            <v>0.66390129155010957</v>
          </cell>
          <cell r="G1004">
            <v>0.72767328218608895</v>
          </cell>
          <cell r="H1004">
            <v>0.86536462551572058</v>
          </cell>
          <cell r="I1004">
            <v>0.54048914528966074</v>
          </cell>
        </row>
        <row r="1005">
          <cell r="A1005" t="str">
            <v>RHEM-SHSTG-ELCHP</v>
          </cell>
          <cell r="B1005" t="str">
            <v>VAR_fin</v>
          </cell>
          <cell r="C1005" t="str">
            <v>RHEM-SHAELCH</v>
          </cell>
          <cell r="D1005">
            <v>3.6974955307557773E-5</v>
          </cell>
          <cell r="E1005">
            <v>2.3547042626256406E-5</v>
          </cell>
          <cell r="F1005">
            <v>0.66392735500828048</v>
          </cell>
          <cell r="G1005">
            <v>0.72769959934991346</v>
          </cell>
          <cell r="H1005">
            <v>0.86539905479702783</v>
          </cell>
          <cell r="I1005">
            <v>0.54052582564736562</v>
          </cell>
        </row>
        <row r="1006">
          <cell r="A1006" t="str">
            <v>RHEM-SHSTG-ELCHP</v>
          </cell>
          <cell r="B1006" t="str">
            <v>VAR_ncap</v>
          </cell>
          <cell r="C1006" t="str">
            <v>-</v>
          </cell>
          <cell r="D1006">
            <v>7.0740728820714903E-3</v>
          </cell>
          <cell r="E1006">
            <v>0.186600460808475</v>
          </cell>
          <cell r="F1006">
            <v>4.5933830667027603E-5</v>
          </cell>
          <cell r="G1006">
            <v>2.38602214750403E-2</v>
          </cell>
          <cell r="H1006">
            <v>0.13547026735656501</v>
          </cell>
          <cell r="I1006">
            <v>0.193348621753827</v>
          </cell>
        </row>
        <row r="1007">
          <cell r="A1007" t="str">
            <v>RHEM-SHSTG-ELCHP</v>
          </cell>
          <cell r="B1007" t="str">
            <v>VAR_cap</v>
          </cell>
          <cell r="C1007" t="str">
            <v>-</v>
          </cell>
          <cell r="D1007">
            <v>7.0740728820714903E-3</v>
          </cell>
          <cell r="E1007">
            <v>0.19365043228541343</v>
          </cell>
          <cell r="F1007">
            <v>0.1936515376413481</v>
          </cell>
          <cell r="G1007">
            <v>0.21749865845428698</v>
          </cell>
          <cell r="H1007">
            <v>0.28381609130892221</v>
          </cell>
          <cell r="I1007">
            <v>0.34748970282337838</v>
          </cell>
        </row>
        <row r="1008">
          <cell r="A1008" t="str">
            <v>ITOT-SWHELCBR</v>
          </cell>
          <cell r="B1008" t="str">
            <v>VAR_fout</v>
          </cell>
          <cell r="C1008" t="str">
            <v>ITOT-SWHAELC</v>
          </cell>
          <cell r="D1008">
            <v>9.8139214632894181</v>
          </cell>
          <cell r="E1008">
            <v>10.335089674566261</v>
          </cell>
          <cell r="F1008">
            <v>10.890926001314831</v>
          </cell>
          <cell r="G1008">
            <v>10.890928599941295</v>
          </cell>
          <cell r="H1008">
            <v>10.890931436568509</v>
          </cell>
          <cell r="I1008">
            <v>10.890935250650976</v>
          </cell>
        </row>
        <row r="1009">
          <cell r="A1009" t="str">
            <v>ITOT-SWHELCBR</v>
          </cell>
          <cell r="B1009" t="str">
            <v>VAR_fin</v>
          </cell>
          <cell r="C1009" t="str">
            <v>ITOT_ELC</v>
          </cell>
          <cell r="D1009">
            <v>11.646975738532211</v>
          </cell>
          <cell r="E1009">
            <v>12.2589859326146</v>
          </cell>
          <cell r="F1009">
            <v>12.908027760628302</v>
          </cell>
          <cell r="G1009">
            <v>12.890959587054503</v>
          </cell>
          <cell r="H1009">
            <v>12.856955534837027</v>
          </cell>
          <cell r="I1009">
            <v>12.823131572349428</v>
          </cell>
        </row>
        <row r="1010">
          <cell r="A1010" t="str">
            <v>ITOT-SWHELCBR</v>
          </cell>
          <cell r="B1010" t="str">
            <v>VAR_ncap</v>
          </cell>
          <cell r="C1010" t="str">
            <v>-</v>
          </cell>
          <cell r="E1010">
            <v>0.19843313152536701</v>
          </cell>
          <cell r="F1010">
            <v>2.2139635996929599E-4</v>
          </cell>
          <cell r="G1010">
            <v>5.1959357587568297E-2</v>
          </cell>
          <cell r="H1010">
            <v>0.391725542947018</v>
          </cell>
          <cell r="I1010">
            <v>0.33889431143537702</v>
          </cell>
        </row>
        <row r="1011">
          <cell r="A1011" t="str">
            <v>ITOT-SWHELCBR</v>
          </cell>
          <cell r="B1011" t="str">
            <v>VAR_cap</v>
          </cell>
          <cell r="C1011" t="str">
            <v>-</v>
          </cell>
          <cell r="D1011">
            <v>0.55644997413134401</v>
          </cell>
          <cell r="E1011">
            <v>0.75487845401414266</v>
          </cell>
          <cell r="F1011">
            <v>0.75509166892756152</v>
          </cell>
          <cell r="G1011">
            <v>0.80703592739756613</v>
          </cell>
          <cell r="H1011">
            <v>0.94968452966353278</v>
          </cell>
          <cell r="I1011">
            <v>0.84416924988309339</v>
          </cell>
        </row>
        <row r="1012">
          <cell r="A1012"/>
          <cell r="B1012"/>
          <cell r="C1012"/>
        </row>
        <row r="1013">
          <cell r="A1013"/>
          <cell r="B1013"/>
          <cell r="C1013"/>
        </row>
        <row r="1014">
          <cell r="A1014"/>
          <cell r="B1014"/>
          <cell r="C1014"/>
        </row>
        <row r="1015">
          <cell r="A1015"/>
          <cell r="B1015"/>
          <cell r="C1015"/>
        </row>
        <row r="1016">
          <cell r="A1016"/>
          <cell r="B1016"/>
          <cell r="C1016"/>
        </row>
        <row r="1017">
          <cell r="A1017"/>
          <cell r="B1017"/>
          <cell r="C1017"/>
        </row>
        <row r="1018">
          <cell r="A1018"/>
          <cell r="B1018"/>
          <cell r="C1018"/>
        </row>
        <row r="1019">
          <cell r="A1019"/>
          <cell r="B1019"/>
          <cell r="C1019"/>
        </row>
        <row r="1020">
          <cell r="A1020"/>
          <cell r="B1020"/>
          <cell r="C1020"/>
        </row>
        <row r="1021">
          <cell r="A1021"/>
          <cell r="B1021"/>
          <cell r="C1021"/>
        </row>
        <row r="1022">
          <cell r="A1022"/>
          <cell r="B1022"/>
          <cell r="C1022"/>
        </row>
        <row r="1023">
          <cell r="A1023"/>
          <cell r="B1023"/>
          <cell r="C1023"/>
        </row>
        <row r="1024">
          <cell r="A1024"/>
          <cell r="B1024"/>
          <cell r="C1024"/>
        </row>
        <row r="1025">
          <cell r="A1025"/>
          <cell r="B1025"/>
          <cell r="C1025"/>
        </row>
        <row r="1026">
          <cell r="A1026"/>
          <cell r="B1026"/>
          <cell r="C1026"/>
        </row>
        <row r="1027">
          <cell r="A1027"/>
          <cell r="B1027"/>
          <cell r="C1027"/>
        </row>
        <row r="1028">
          <cell r="A1028"/>
          <cell r="B1028"/>
          <cell r="C1028"/>
        </row>
        <row r="1029">
          <cell r="A1029"/>
          <cell r="B1029"/>
          <cell r="C1029"/>
        </row>
        <row r="1030">
          <cell r="A1030"/>
          <cell r="B1030"/>
          <cell r="C1030"/>
        </row>
        <row r="1031">
          <cell r="A1031"/>
          <cell r="B1031"/>
          <cell r="C1031"/>
        </row>
        <row r="1032">
          <cell r="A1032"/>
          <cell r="B1032"/>
          <cell r="C1032"/>
        </row>
        <row r="1033">
          <cell r="A1033"/>
          <cell r="B1033"/>
          <cell r="C1033"/>
        </row>
        <row r="1034">
          <cell r="A1034"/>
          <cell r="B1034"/>
          <cell r="C1034"/>
        </row>
        <row r="1035">
          <cell r="A1035"/>
          <cell r="B1035"/>
          <cell r="C1035"/>
        </row>
        <row r="1036">
          <cell r="A1036"/>
          <cell r="B1036"/>
          <cell r="C1036"/>
        </row>
        <row r="1037">
          <cell r="A1037"/>
          <cell r="B1037"/>
          <cell r="C1037"/>
        </row>
        <row r="1038">
          <cell r="A1038"/>
          <cell r="B1038"/>
          <cell r="C1038"/>
        </row>
        <row r="1039">
          <cell r="A1039"/>
          <cell r="B1039"/>
          <cell r="C1039"/>
        </row>
        <row r="1040">
          <cell r="A1040"/>
          <cell r="B1040"/>
          <cell r="C1040"/>
        </row>
        <row r="1041">
          <cell r="A1041"/>
          <cell r="B1041"/>
          <cell r="C1041"/>
        </row>
        <row r="1042">
          <cell r="A1042"/>
          <cell r="B1042"/>
          <cell r="C1042"/>
        </row>
        <row r="1043">
          <cell r="A1043"/>
          <cell r="B1043"/>
          <cell r="C1043"/>
        </row>
        <row r="1044">
          <cell r="A1044"/>
          <cell r="B1044"/>
          <cell r="C1044"/>
        </row>
        <row r="1045">
          <cell r="A1045"/>
          <cell r="B1045"/>
          <cell r="C1045"/>
        </row>
        <row r="1046">
          <cell r="A1046"/>
          <cell r="B1046"/>
          <cell r="C1046"/>
        </row>
        <row r="1047">
          <cell r="A1047"/>
          <cell r="B1047"/>
          <cell r="C1047"/>
        </row>
        <row r="1048">
          <cell r="A1048"/>
          <cell r="B1048"/>
          <cell r="C1048"/>
        </row>
        <row r="1049">
          <cell r="A1049"/>
          <cell r="B1049"/>
          <cell r="C1049"/>
        </row>
        <row r="1050">
          <cell r="A1050"/>
          <cell r="B1050"/>
          <cell r="C1050"/>
        </row>
        <row r="1051">
          <cell r="A1051"/>
          <cell r="B1051"/>
          <cell r="C1051"/>
        </row>
        <row r="1052">
          <cell r="A1052"/>
          <cell r="B1052"/>
          <cell r="C1052"/>
        </row>
        <row r="1053">
          <cell r="A1053"/>
          <cell r="B1053"/>
          <cell r="C1053"/>
        </row>
        <row r="1054">
          <cell r="A1054"/>
          <cell r="B1054"/>
          <cell r="C1054"/>
        </row>
        <row r="1055">
          <cell r="A1055"/>
          <cell r="B1055"/>
          <cell r="C1055"/>
        </row>
        <row r="1056">
          <cell r="A1056"/>
          <cell r="B1056"/>
          <cell r="C1056"/>
        </row>
        <row r="1057">
          <cell r="A1057"/>
          <cell r="B1057"/>
          <cell r="C1057"/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2040</v>
          </cell>
          <cell r="J3" t="str">
            <v>2050</v>
          </cell>
        </row>
        <row r="4">
          <cell r="B4" t="str">
            <v>CO2_R</v>
          </cell>
          <cell r="C4" t="str">
            <v>VAR_fout</v>
          </cell>
          <cell r="D4" t="str">
            <v>RHNM-SHLFOBR</v>
          </cell>
          <cell r="F4">
            <v>1.1346616582732099E-3</v>
          </cell>
          <cell r="G4">
            <v>7.8233063886552801</v>
          </cell>
          <cell r="H4">
            <v>11.9596035390234</v>
          </cell>
          <cell r="I4">
            <v>13.557985389164401</v>
          </cell>
        </row>
        <row r="5">
          <cell r="B5" t="str">
            <v>CO2_R</v>
          </cell>
          <cell r="C5" t="str">
            <v>VAR_fout</v>
          </cell>
          <cell r="D5" t="str">
            <v>RHNS-SHNGAHP</v>
          </cell>
          <cell r="G5">
            <v>4.8915753819676304</v>
          </cell>
          <cell r="H5">
            <v>15.641668938851</v>
          </cell>
          <cell r="I5">
            <v>27.746738343619299</v>
          </cell>
          <cell r="J5">
            <v>36.614891039547103</v>
          </cell>
        </row>
        <row r="6">
          <cell r="B6" t="str">
            <v>CO2_R</v>
          </cell>
          <cell r="C6" t="str">
            <v>VAR_fout</v>
          </cell>
          <cell r="D6" t="str">
            <v>RHNS-CHPGFC</v>
          </cell>
          <cell r="H6">
            <v>1.58239888284149E-2</v>
          </cell>
          <cell r="I6">
            <v>5.03046361871647E-2</v>
          </cell>
          <cell r="J6">
            <v>4.4777826518847597E-2</v>
          </cell>
        </row>
        <row r="7">
          <cell r="B7" t="str">
            <v>CO2_R</v>
          </cell>
          <cell r="C7" t="str">
            <v>VAR_fout</v>
          </cell>
          <cell r="D7" t="str">
            <v>RHES-CHPNGA</v>
          </cell>
          <cell r="E7">
            <v>3.7497743729790201</v>
          </cell>
          <cell r="F7">
            <v>0.40537298667210803</v>
          </cell>
          <cell r="G7">
            <v>0.77385857161545801</v>
          </cell>
          <cell r="H7">
            <v>1.33041938767573</v>
          </cell>
          <cell r="I7">
            <v>0.47950702591579297</v>
          </cell>
          <cell r="J7">
            <v>0.27257153531169298</v>
          </cell>
        </row>
        <row r="8">
          <cell r="B8" t="str">
            <v>CO2_R</v>
          </cell>
          <cell r="C8" t="str">
            <v>VAR_fout</v>
          </cell>
          <cell r="D8" t="str">
            <v>RHEM-CHPGFC</v>
          </cell>
          <cell r="H8">
            <v>7.1582125366364699E-2</v>
          </cell>
          <cell r="I8">
            <v>0.39201270179583297</v>
          </cell>
          <cell r="J8">
            <v>82.670713902771197</v>
          </cell>
        </row>
        <row r="9">
          <cell r="B9" t="str">
            <v>CO2_R</v>
          </cell>
          <cell r="C9" t="str">
            <v>VAR_fout</v>
          </cell>
          <cell r="D9" t="str">
            <v>RHEM-SHNGABR</v>
          </cell>
          <cell r="E9">
            <v>1127.9636103580799</v>
          </cell>
          <cell r="F9">
            <v>1140.2401954248201</v>
          </cell>
          <cell r="G9">
            <v>1317.7101517336</v>
          </cell>
          <cell r="H9">
            <v>1111.0086433891099</v>
          </cell>
          <cell r="I9">
            <v>678.15849642592798</v>
          </cell>
          <cell r="J9">
            <v>308.40359868006101</v>
          </cell>
        </row>
        <row r="10">
          <cell r="B10" t="str">
            <v>CO2_R</v>
          </cell>
          <cell r="C10" t="str">
            <v>VAR_fout</v>
          </cell>
          <cell r="D10" t="str">
            <v>RHSA-WHNGAHP</v>
          </cell>
          <cell r="G10">
            <v>25.5123377698825</v>
          </cell>
          <cell r="H10">
            <v>57.762483990085897</v>
          </cell>
          <cell r="I10">
            <v>101.935384424082</v>
          </cell>
          <cell r="J10">
            <v>137.827314802046</v>
          </cell>
        </row>
        <row r="11">
          <cell r="B11" t="str">
            <v>CO2_R</v>
          </cell>
          <cell r="C11" t="str">
            <v>VAR_fout</v>
          </cell>
          <cell r="D11" t="str">
            <v>RHEM-SHLFOBR</v>
          </cell>
          <cell r="E11">
            <v>1928.71197871289</v>
          </cell>
          <cell r="F11">
            <v>1569.6671914323299</v>
          </cell>
          <cell r="G11">
            <v>1744.7972981630001</v>
          </cell>
          <cell r="H11">
            <v>1153.78173256934</v>
          </cell>
          <cell r="I11">
            <v>638.02899640497105</v>
          </cell>
          <cell r="J11">
            <v>210.78124364408799</v>
          </cell>
        </row>
        <row r="12">
          <cell r="B12" t="str">
            <v>CO2_R</v>
          </cell>
          <cell r="C12" t="str">
            <v>VAR_fout</v>
          </cell>
          <cell r="D12" t="str">
            <v>RHES-SHNGAHP</v>
          </cell>
          <cell r="G12">
            <v>63.722173109816602</v>
          </cell>
          <cell r="H12">
            <v>120.983539238246</v>
          </cell>
          <cell r="I12">
            <v>181.834399155477</v>
          </cell>
          <cell r="J12">
            <v>222.606901608356</v>
          </cell>
        </row>
        <row r="13">
          <cell r="B13" t="str">
            <v>CO2_R</v>
          </cell>
          <cell r="C13" t="str">
            <v>VAR_fout</v>
          </cell>
          <cell r="D13" t="str">
            <v>RHNS-SHNGABR</v>
          </cell>
          <cell r="F13">
            <v>6.0647929016722397</v>
          </cell>
          <cell r="G13">
            <v>3.1665415808777002</v>
          </cell>
          <cell r="H13">
            <v>6.5576298857024504</v>
          </cell>
          <cell r="I13">
            <v>9.6446601496677999</v>
          </cell>
          <cell r="J13">
            <v>10.365086685304499</v>
          </cell>
        </row>
        <row r="14">
          <cell r="B14" t="str">
            <v>CO2_R</v>
          </cell>
          <cell r="C14" t="str">
            <v>VAR_fout</v>
          </cell>
          <cell r="D14" t="str">
            <v>RHNS-SHLFOBR</v>
          </cell>
          <cell r="F14">
            <v>2.9652557534571898E-3</v>
          </cell>
          <cell r="G14">
            <v>3.24733606471136</v>
          </cell>
          <cell r="H14">
            <v>5.0056262271027796</v>
          </cell>
          <cell r="I14">
            <v>5.6857940202809303</v>
          </cell>
        </row>
        <row r="15">
          <cell r="B15" t="str">
            <v>CO2_R</v>
          </cell>
          <cell r="C15" t="str">
            <v>VAR_fout</v>
          </cell>
          <cell r="D15" t="str">
            <v>RHES-CHPGFC</v>
          </cell>
          <cell r="H15">
            <v>1.5843539511431099E-2</v>
          </cell>
          <cell r="I15">
            <v>4.8906467215703298E-2</v>
          </cell>
          <cell r="J15">
            <v>4.5122364557508697E-2</v>
          </cell>
        </row>
        <row r="16">
          <cell r="B16" t="str">
            <v>CO2_R</v>
          </cell>
          <cell r="C16" t="str">
            <v>VAR_fout</v>
          </cell>
          <cell r="D16" t="str">
            <v>RHNM-CHPNGA</v>
          </cell>
          <cell r="F16">
            <v>0.242994249946623</v>
          </cell>
          <cell r="G16">
            <v>0.62498556756968004</v>
          </cell>
          <cell r="H16">
            <v>62.892127348137201</v>
          </cell>
          <cell r="I16">
            <v>345.19567148411102</v>
          </cell>
          <cell r="J16">
            <v>285.42267977077</v>
          </cell>
        </row>
        <row r="17">
          <cell r="B17" t="str">
            <v>CO2_R</v>
          </cell>
          <cell r="C17" t="str">
            <v>VAR_fout</v>
          </cell>
          <cell r="D17" t="str">
            <v>RHNM-SHNGAHP</v>
          </cell>
          <cell r="G17">
            <v>6.7084106879862997</v>
          </cell>
          <cell r="H17">
            <v>19.684694239584999</v>
          </cell>
          <cell r="I17">
            <v>36.364758886204598</v>
          </cell>
          <cell r="J17">
            <v>49.210180868035302</v>
          </cell>
        </row>
        <row r="18">
          <cell r="B18" t="str">
            <v>CO2_R</v>
          </cell>
          <cell r="C18" t="str">
            <v>VAR_fout</v>
          </cell>
          <cell r="D18" t="str">
            <v>RHES-SHNGABR</v>
          </cell>
          <cell r="E18">
            <v>1043.1356026696301</v>
          </cell>
          <cell r="F18">
            <v>1118.2894853523401</v>
          </cell>
          <cell r="G18">
            <v>666.29867158091997</v>
          </cell>
          <cell r="H18">
            <v>548.39814733404501</v>
          </cell>
          <cell r="I18">
            <v>319.23589127986003</v>
          </cell>
          <cell r="J18">
            <v>149.43776685308799</v>
          </cell>
        </row>
        <row r="19">
          <cell r="B19" t="str">
            <v>CO2_R</v>
          </cell>
          <cell r="C19" t="str">
            <v>VAR_fout</v>
          </cell>
          <cell r="D19" t="str">
            <v>RHSA-WHNGABR</v>
          </cell>
          <cell r="E19">
            <v>479.81069100352101</v>
          </cell>
          <cell r="F19">
            <v>414.489624020625</v>
          </cell>
          <cell r="G19">
            <v>577.53469854795503</v>
          </cell>
          <cell r="H19">
            <v>456.666135688662</v>
          </cell>
          <cell r="I19">
            <v>304.525877491664</v>
          </cell>
          <cell r="J19">
            <v>192.094150782431</v>
          </cell>
        </row>
        <row r="20">
          <cell r="B20" t="str">
            <v>CO2_R</v>
          </cell>
          <cell r="C20" t="str">
            <v>VAR_fout</v>
          </cell>
          <cell r="D20" t="str">
            <v>RHSA-WHLFOBR</v>
          </cell>
          <cell r="E20">
            <v>726.71336855179004</v>
          </cell>
          <cell r="F20">
            <v>571.64642040648801</v>
          </cell>
          <cell r="G20">
            <v>675.41779904170596</v>
          </cell>
          <cell r="H20">
            <v>428.51900112382299</v>
          </cell>
          <cell r="I20">
            <v>236.15066388475699</v>
          </cell>
          <cell r="J20">
            <v>107.801284165768</v>
          </cell>
        </row>
        <row r="21">
          <cell r="B21" t="str">
            <v>CO2_R</v>
          </cell>
          <cell r="C21" t="str">
            <v>VAR_fout</v>
          </cell>
          <cell r="D21" t="str">
            <v>RHES-SHLFOBR</v>
          </cell>
          <cell r="E21">
            <v>1783.6641405364501</v>
          </cell>
          <cell r="F21">
            <v>1640.96982177224</v>
          </cell>
          <cell r="G21">
            <v>1245.02023550749</v>
          </cell>
          <cell r="H21">
            <v>794.20993720995398</v>
          </cell>
          <cell r="I21">
            <v>376.14511247783003</v>
          </cell>
          <cell r="J21">
            <v>101.741489335247</v>
          </cell>
        </row>
        <row r="22">
          <cell r="B22" t="str">
            <v>CO2_R</v>
          </cell>
          <cell r="C22" t="str">
            <v>VAR_fout</v>
          </cell>
          <cell r="D22" t="str">
            <v>RHNS-CHPNGA</v>
          </cell>
          <cell r="F22">
            <v>8.7974008233015294E-2</v>
          </cell>
          <cell r="G22">
            <v>0.312011838874239</v>
          </cell>
          <cell r="H22">
            <v>0.25194283980292698</v>
          </cell>
          <cell r="I22">
            <v>0.43821136384225301</v>
          </cell>
          <cell r="J22">
            <v>0.27290089368785497</v>
          </cell>
        </row>
        <row r="23">
          <cell r="B23" t="str">
            <v>CO2_R</v>
          </cell>
          <cell r="C23" t="str">
            <v>VAR_fout</v>
          </cell>
          <cell r="D23" t="str">
            <v>RHNM-CHPGFC</v>
          </cell>
          <cell r="H23">
            <v>7.1568499095503793E-2</v>
          </cell>
          <cell r="I23">
            <v>0.39196110020664898</v>
          </cell>
          <cell r="J23">
            <v>82.613376682804102</v>
          </cell>
        </row>
        <row r="24">
          <cell r="B24" t="str">
            <v>CO2_R</v>
          </cell>
          <cell r="C24" t="str">
            <v>VAR_fout</v>
          </cell>
          <cell r="D24" t="str">
            <v>RHEM-CHPNGA</v>
          </cell>
          <cell r="E24">
            <v>6.3107794945720901</v>
          </cell>
          <cell r="F24">
            <v>0.24525007967017601</v>
          </cell>
          <cell r="G24">
            <v>0.83519070730766498</v>
          </cell>
          <cell r="H24">
            <v>62.859187386962802</v>
          </cell>
          <cell r="I24">
            <v>344.93832605788498</v>
          </cell>
          <cell r="J24">
            <v>285.50584734526001</v>
          </cell>
        </row>
        <row r="25">
          <cell r="B25" t="str">
            <v>CO2_R</v>
          </cell>
          <cell r="C25" t="str">
            <v>VAR_fout</v>
          </cell>
          <cell r="D25" t="str">
            <v>RHES-SHCOABR</v>
          </cell>
          <cell r="E25">
            <v>9.2703674609388091</v>
          </cell>
          <cell r="F25">
            <v>9.2702427911698706</v>
          </cell>
          <cell r="G25">
            <v>2.4987500003717402</v>
          </cell>
          <cell r="H25">
            <v>0.56198255957779597</v>
          </cell>
        </row>
        <row r="26">
          <cell r="B26" t="str">
            <v>CO2_R</v>
          </cell>
          <cell r="C26" t="str">
            <v>VAR_fout</v>
          </cell>
          <cell r="D26" t="str">
            <v>RHEM-SHNGAHP</v>
          </cell>
          <cell r="G26">
            <v>60.506461670677403</v>
          </cell>
          <cell r="H26">
            <v>125.34107926012599</v>
          </cell>
          <cell r="I26">
            <v>197.11830523303101</v>
          </cell>
          <cell r="J26">
            <v>259.82648071285303</v>
          </cell>
        </row>
        <row r="27">
          <cell r="B27" t="str">
            <v>CO2_R</v>
          </cell>
          <cell r="C27" t="str">
            <v>VAR_fout</v>
          </cell>
          <cell r="D27" t="str">
            <v>RHNM-SHNGABR</v>
          </cell>
          <cell r="F27">
            <v>43.099345106686897</v>
          </cell>
          <cell r="G27">
            <v>9.4970163663848108</v>
          </cell>
          <cell r="H27">
            <v>16.247087392017399</v>
          </cell>
          <cell r="I27">
            <v>21.923557113264099</v>
          </cell>
          <cell r="J27">
            <v>18.763375426842199</v>
          </cell>
        </row>
        <row r="28">
          <cell r="B28" t="str">
            <v>CO2_R</v>
          </cell>
          <cell r="C28" t="str">
            <v>VAR_comnet</v>
          </cell>
          <cell r="D28" t="str">
            <v>-</v>
          </cell>
          <cell r="E28">
            <v>7109.33031316085</v>
          </cell>
          <cell r="F28">
            <v>6514.7228104503001</v>
          </cell>
          <cell r="G28">
            <v>6416.8988102813701</v>
          </cell>
          <cell r="H28">
            <v>4999.8374877006299</v>
          </cell>
          <cell r="I28">
            <v>3839.9915215169599</v>
          </cell>
          <cell r="J28">
            <v>2542.32175492535</v>
          </cell>
        </row>
        <row r="29">
          <cell r="B29" t="str">
            <v>CO2_S</v>
          </cell>
          <cell r="C29" t="str">
            <v>VAR_fout</v>
          </cell>
          <cell r="D29" t="str">
            <v>SCOM-SHNGAHP</v>
          </cell>
          <cell r="G29">
            <v>51.846135551378197</v>
          </cell>
          <cell r="H29">
            <v>99.870484683863907</v>
          </cell>
          <cell r="I29">
            <v>165.80447397890299</v>
          </cell>
          <cell r="J29">
            <v>230.86506735560999</v>
          </cell>
        </row>
        <row r="30">
          <cell r="B30" t="str">
            <v>CO2_S</v>
          </cell>
          <cell r="C30" t="str">
            <v>VAR_fout</v>
          </cell>
          <cell r="D30" t="str">
            <v>SCOM-CHPNGA</v>
          </cell>
          <cell r="E30">
            <v>93.848988449150298</v>
          </cell>
          <cell r="F30">
            <v>98.057417528387802</v>
          </cell>
          <cell r="G30">
            <v>2.71169180013047</v>
          </cell>
          <cell r="H30">
            <v>2.6362286384045999</v>
          </cell>
          <cell r="I30">
            <v>4.0141750407385599</v>
          </cell>
          <cell r="J30">
            <v>0.16503986647003899</v>
          </cell>
        </row>
        <row r="31">
          <cell r="B31" t="str">
            <v>CO2_S</v>
          </cell>
          <cell r="C31" t="str">
            <v>VAR_fout</v>
          </cell>
          <cell r="D31" t="str">
            <v>SCOM-SHNGABR</v>
          </cell>
          <cell r="E31">
            <v>1440.94612982382</v>
          </cell>
          <cell r="F31">
            <v>1508.68781278809</v>
          </cell>
          <cell r="G31">
            <v>1364.6349947736701</v>
          </cell>
          <cell r="H31">
            <v>1188.27827980044</v>
          </cell>
          <cell r="I31">
            <v>809.19559450058102</v>
          </cell>
          <cell r="J31">
            <v>484.05033799163402</v>
          </cell>
        </row>
        <row r="32">
          <cell r="B32" t="str">
            <v>CO2_S</v>
          </cell>
          <cell r="C32" t="str">
            <v>VAR_fout</v>
          </cell>
          <cell r="D32" t="str">
            <v>SCOM-CHPGFC</v>
          </cell>
          <cell r="H32">
            <v>4.3214036288316597E-2</v>
          </cell>
          <cell r="I32">
            <v>0.85308381562247004</v>
          </cell>
          <cell r="J32">
            <v>539.73677040861503</v>
          </cell>
        </row>
        <row r="33">
          <cell r="B33" t="str">
            <v>CO2_S</v>
          </cell>
          <cell r="C33" t="str">
            <v>VAR_fout</v>
          </cell>
          <cell r="D33" t="str">
            <v>SCOM-SHLFOBR</v>
          </cell>
          <cell r="E33">
            <v>2229.9139588551302</v>
          </cell>
          <cell r="F33">
            <v>1954.9046130695699</v>
          </cell>
          <cell r="G33">
            <v>1952.7726686501801</v>
          </cell>
          <cell r="H33">
            <v>1414.3710189316901</v>
          </cell>
          <cell r="I33">
            <v>885.82895101852205</v>
          </cell>
          <cell r="J33">
            <v>382.81468024008899</v>
          </cell>
        </row>
        <row r="34">
          <cell r="B34" t="str">
            <v>CO2_S</v>
          </cell>
          <cell r="C34" t="str">
            <v>VAR_comnet</v>
          </cell>
          <cell r="D34" t="str">
            <v>-</v>
          </cell>
          <cell r="E34">
            <v>3764.7090771281</v>
          </cell>
          <cell r="F34">
            <v>3561.6498433860402</v>
          </cell>
          <cell r="G34">
            <v>3371.9654907753602</v>
          </cell>
          <cell r="H34">
            <v>2705.19922609069</v>
          </cell>
          <cell r="I34">
            <v>1865.69627835437</v>
          </cell>
          <cell r="J34">
            <v>1637.6318958624199</v>
          </cell>
        </row>
        <row r="35">
          <cell r="B35" t="str">
            <v>CO2_T</v>
          </cell>
          <cell r="C35" t="str">
            <v>VAR_fout</v>
          </cell>
          <cell r="D35" t="str">
            <v>T_B_u-ICENGAEXT</v>
          </cell>
          <cell r="E35">
            <v>1.7820504374352598E-2</v>
          </cell>
          <cell r="F35">
            <v>1.7903998578971701E-2</v>
          </cell>
          <cell r="G35">
            <v>1.78429389222808E-2</v>
          </cell>
        </row>
        <row r="36">
          <cell r="B36" t="str">
            <v>CO2_T</v>
          </cell>
          <cell r="C36" t="str">
            <v>VAR_fout</v>
          </cell>
          <cell r="D36" t="str">
            <v>TFHGV-ICENGA</v>
          </cell>
          <cell r="E36">
            <v>3.5062985496896841</v>
          </cell>
          <cell r="F36">
            <v>0.18714359498400235</v>
          </cell>
          <cell r="G36">
            <v>0.24679167681265632</v>
          </cell>
          <cell r="H36">
            <v>0.23841073106952393</v>
          </cell>
          <cell r="I36">
            <v>0.21536283142461049</v>
          </cell>
          <cell r="J36">
            <v>0.20214455617461491</v>
          </cell>
        </row>
        <row r="37">
          <cell r="B37" t="str">
            <v>CO2_T</v>
          </cell>
          <cell r="C37" t="str">
            <v>VAR_fout</v>
          </cell>
          <cell r="D37" t="str">
            <v>T-Plg-GSL-mix_S1</v>
          </cell>
          <cell r="E37">
            <v>2.2137394678484398E-2</v>
          </cell>
          <cell r="F37">
            <v>6.4608885030527308E-2</v>
          </cell>
          <cell r="G37">
            <v>8.281707073455119E-2</v>
          </cell>
          <cell r="H37">
            <v>7.7665953883134825E-2</v>
          </cell>
          <cell r="I37">
            <v>5.5514339999717228E-2</v>
          </cell>
          <cell r="J37">
            <v>2.8635433744710649E-2</v>
          </cell>
        </row>
        <row r="38">
          <cell r="B38" t="str">
            <v>CO2_T</v>
          </cell>
          <cell r="C38" t="str">
            <v>VAR_fout</v>
          </cell>
          <cell r="D38" t="str">
            <v>T-Plg-GSL-mix_S2</v>
          </cell>
          <cell r="E38">
            <v>6.1919072275938998</v>
          </cell>
          <cell r="F38">
            <v>12.30353994109006</v>
          </cell>
          <cell r="G38">
            <v>11.3726897416984</v>
          </cell>
          <cell r="H38">
            <v>9.5277317718307835</v>
          </cell>
          <cell r="I38">
            <v>0.22347096857577298</v>
          </cell>
          <cell r="J38">
            <v>0.10640680723686741</v>
          </cell>
        </row>
        <row r="39">
          <cell r="B39" t="str">
            <v>CO2_T</v>
          </cell>
          <cell r="C39" t="str">
            <v>VAR_fout</v>
          </cell>
          <cell r="D39" t="str">
            <v>T-Plg-GSL-mix_S3</v>
          </cell>
          <cell r="E39">
            <v>6.6103948724488504</v>
          </cell>
          <cell r="F39">
            <v>76.065430906592297</v>
          </cell>
          <cell r="G39">
            <v>130.29740742259509</v>
          </cell>
          <cell r="H39">
            <v>124.3119810359284</v>
          </cell>
          <cell r="I39">
            <v>69.400212023639853</v>
          </cell>
          <cell r="J39">
            <v>87.515300356525557</v>
          </cell>
        </row>
        <row r="40">
          <cell r="B40" t="str">
            <v>CO2_T</v>
          </cell>
          <cell r="C40" t="str">
            <v>VAR_fout</v>
          </cell>
          <cell r="D40" t="str">
            <v>T-Plg-GSL-mix_S4</v>
          </cell>
          <cell r="E40">
            <v>12.6254840589135</v>
          </cell>
          <cell r="F40">
            <v>22.661119860166899</v>
          </cell>
          <cell r="G40">
            <v>20.954257001822896</v>
          </cell>
          <cell r="H40">
            <v>16.616520988573619</v>
          </cell>
          <cell r="I40">
            <v>0.35850294385156406</v>
          </cell>
          <cell r="J40">
            <v>0.1626986552427197</v>
          </cell>
        </row>
        <row r="41">
          <cell r="B41" t="str">
            <v>CO2_T</v>
          </cell>
          <cell r="C41" t="str">
            <v>VAR_fout</v>
          </cell>
          <cell r="D41" t="str">
            <v>TFLGV-HYBDSL</v>
          </cell>
          <cell r="F41">
            <v>13.2499210403854</v>
          </cell>
          <cell r="G41">
            <v>77.134929299750397</v>
          </cell>
          <cell r="H41">
            <v>254.08699313171991</v>
          </cell>
          <cell r="I41">
            <v>177.57276445588093</v>
          </cell>
          <cell r="J41">
            <v>206.55956747597293</v>
          </cell>
        </row>
        <row r="42">
          <cell r="B42" t="str">
            <v>CO2_T</v>
          </cell>
          <cell r="C42" t="str">
            <v>VAR_fout</v>
          </cell>
          <cell r="D42" t="str">
            <v>TFLGV-ICEGSLExt</v>
          </cell>
          <cell r="E42">
            <v>61.450521924117901</v>
          </cell>
          <cell r="F42">
            <v>138.018914356143</v>
          </cell>
          <cell r="G42">
            <v>40.409785004651198</v>
          </cell>
          <cell r="H42">
            <v>20.011709564472</v>
          </cell>
        </row>
        <row r="43">
          <cell r="B43" t="str">
            <v>CO2_T</v>
          </cell>
          <cell r="C43" t="str">
            <v>VAR_fout</v>
          </cell>
          <cell r="D43" t="str">
            <v>TFLGV-ICEDSLExt</v>
          </cell>
          <cell r="E43">
            <v>803.28992457886795</v>
          </cell>
          <cell r="F43">
            <v>545.29929231836002</v>
          </cell>
          <cell r="G43">
            <v>415.61326340326298</v>
          </cell>
          <cell r="H43">
            <v>199.786035474887</v>
          </cell>
        </row>
        <row r="44">
          <cell r="B44" t="str">
            <v>CO2_T</v>
          </cell>
          <cell r="C44" t="str">
            <v>VAR_fout</v>
          </cell>
          <cell r="D44" t="str">
            <v>T_C-ICE-NGA-S1</v>
          </cell>
          <cell r="E44">
            <v>0.2030969344026467</v>
          </cell>
          <cell r="F44">
            <v>0.16407018545504823</v>
          </cell>
          <cell r="G44">
            <v>0.16483982666793517</v>
          </cell>
          <cell r="H44">
            <v>9.0202668326059571E-3</v>
          </cell>
          <cell r="I44">
            <v>4.1638601524909245E-3</v>
          </cell>
          <cell r="J44">
            <v>2.340127126113149E-3</v>
          </cell>
        </row>
        <row r="45">
          <cell r="B45" t="str">
            <v>CO2_T</v>
          </cell>
          <cell r="C45" t="str">
            <v>VAR_fout</v>
          </cell>
          <cell r="D45" t="str">
            <v>T_C-ICE-NGA-S2</v>
          </cell>
          <cell r="E45">
            <v>3.1517716942574658</v>
          </cell>
          <cell r="F45">
            <v>2.3877116753424548</v>
          </cell>
          <cell r="G45">
            <v>3.2307881242536767</v>
          </cell>
          <cell r="H45">
            <v>1.0341937201295521E-2</v>
          </cell>
          <cell r="I45">
            <v>9.9567085289002308E-3</v>
          </cell>
          <cell r="J45">
            <v>5.5557537931990595E-3</v>
          </cell>
        </row>
        <row r="46">
          <cell r="B46" t="str">
            <v>CO2_T</v>
          </cell>
          <cell r="C46" t="str">
            <v>VAR_fout</v>
          </cell>
          <cell r="D46" t="str">
            <v>TFLGV-ICEDSL</v>
          </cell>
          <cell r="E46">
            <v>325.884528913944</v>
          </cell>
          <cell r="F46">
            <v>384.69960426404617</v>
          </cell>
          <cell r="G46">
            <v>384.74095111874954</v>
          </cell>
          <cell r="H46">
            <v>153.73782122417902</v>
          </cell>
          <cell r="I46">
            <v>26.404474763548833</v>
          </cell>
          <cell r="J46">
            <v>4.7454651517048081</v>
          </cell>
        </row>
        <row r="47">
          <cell r="B47" t="str">
            <v>CO2_T</v>
          </cell>
          <cell r="C47" t="str">
            <v>VAR_fout</v>
          </cell>
          <cell r="D47" t="str">
            <v>T_C-ICE-NGA-S3</v>
          </cell>
          <cell r="E47">
            <v>0.24468888837915831</v>
          </cell>
          <cell r="F47">
            <v>0.21602389224786697</v>
          </cell>
          <cell r="G47">
            <v>0.27296145546787021</v>
          </cell>
          <cell r="H47">
            <v>3.1760353293521462E-2</v>
          </cell>
          <cell r="I47">
            <v>1.6468295862663095E-2</v>
          </cell>
          <cell r="J47">
            <v>1.140220309304886E-2</v>
          </cell>
        </row>
        <row r="48">
          <cell r="B48" t="str">
            <v>CO2_T</v>
          </cell>
          <cell r="C48" t="str">
            <v>VAR_fout</v>
          </cell>
          <cell r="D48" t="str">
            <v>T_C-ICE-NGA-S4</v>
          </cell>
          <cell r="E48">
            <v>2.7215510025724408</v>
          </cell>
          <cell r="F48">
            <v>2.659519778622661</v>
          </cell>
          <cell r="G48">
            <v>2.4756224373196174</v>
          </cell>
          <cell r="H48">
            <v>7.0868675162772251E-3</v>
          </cell>
          <cell r="I48">
            <v>1.5748776351451846E-2</v>
          </cell>
          <cell r="J48">
            <v>1.4750445462888541E-2</v>
          </cell>
        </row>
        <row r="49">
          <cell r="B49" t="str">
            <v>CO2_T</v>
          </cell>
          <cell r="C49" t="str">
            <v>VAR_fout</v>
          </cell>
          <cell r="D49" t="str">
            <v>T_C-MHY-GSL-S1</v>
          </cell>
          <cell r="F49">
            <v>3.4589670444520798E-2</v>
          </cell>
          <cell r="G49">
            <v>15.782094580331151</v>
          </cell>
          <cell r="H49">
            <v>14.030320747182671</v>
          </cell>
          <cell r="I49">
            <v>1.4788444415345579</v>
          </cell>
          <cell r="J49">
            <v>3.4592334292752311E-2</v>
          </cell>
        </row>
        <row r="50">
          <cell r="B50" t="str">
            <v>CO2_T</v>
          </cell>
          <cell r="C50" t="str">
            <v>VAR_fout</v>
          </cell>
          <cell r="D50" t="str">
            <v>T_C-MHY-GSL-S2</v>
          </cell>
          <cell r="F50">
            <v>2.4608049543900699E-2</v>
          </cell>
          <cell r="G50">
            <v>0.1555257125776596</v>
          </cell>
          <cell r="H50">
            <v>0.37540064503952708</v>
          </cell>
          <cell r="I50">
            <v>0.23498417525580861</v>
          </cell>
          <cell r="J50">
            <v>5.5658884981827403E-2</v>
          </cell>
        </row>
        <row r="51">
          <cell r="B51" t="str">
            <v>CO2_T</v>
          </cell>
          <cell r="C51" t="str">
            <v>VAR_fout</v>
          </cell>
          <cell r="D51" t="str">
            <v>T_C-MHY-DSL-S1</v>
          </cell>
          <cell r="F51">
            <v>2.9376218169737699E-2</v>
          </cell>
          <cell r="G51">
            <v>10.247050297813704</v>
          </cell>
          <cell r="H51">
            <v>113.89280357345471</v>
          </cell>
          <cell r="I51">
            <v>46.635658552437199</v>
          </cell>
          <cell r="J51">
            <v>1.0272219650757068</v>
          </cell>
        </row>
        <row r="52">
          <cell r="B52" t="str">
            <v>CO2_T</v>
          </cell>
          <cell r="C52" t="str">
            <v>VAR_fout</v>
          </cell>
          <cell r="D52" t="str">
            <v>T_C-MHY-GSL-S3</v>
          </cell>
          <cell r="F52">
            <v>3.6548912538171899E-2</v>
          </cell>
          <cell r="G52">
            <v>0.1514851987417179</v>
          </cell>
          <cell r="H52">
            <v>0.2871618791760886</v>
          </cell>
          <cell r="I52">
            <v>0.20664565263307422</v>
          </cell>
          <cell r="J52">
            <v>6.9852940676429193E-2</v>
          </cell>
        </row>
        <row r="53">
          <cell r="B53" t="str">
            <v>CO2_T</v>
          </cell>
          <cell r="C53" t="str">
            <v>VAR_fout</v>
          </cell>
          <cell r="D53" t="str">
            <v>T_C-MHY-DSL-S2</v>
          </cell>
          <cell r="F53">
            <v>2.1271791563556498E-2</v>
          </cell>
          <cell r="G53">
            <v>0.1355536114840479</v>
          </cell>
          <cell r="H53">
            <v>14.457220415358186</v>
          </cell>
          <cell r="I53">
            <v>4.5807298677954593</v>
          </cell>
          <cell r="J53">
            <v>0.13478880534581891</v>
          </cell>
        </row>
        <row r="54">
          <cell r="B54" t="str">
            <v>CO2_T</v>
          </cell>
          <cell r="C54" t="str">
            <v>VAR_fout</v>
          </cell>
          <cell r="D54" t="str">
            <v>T_C-MHY-GSL-S4</v>
          </cell>
          <cell r="F54">
            <v>4.8452813539509497E-2</v>
          </cell>
          <cell r="G54">
            <v>0.27382141671719928</v>
          </cell>
          <cell r="H54">
            <v>233.07363320985459</v>
          </cell>
          <cell r="I54">
            <v>220.21244559151984</v>
          </cell>
          <cell r="J54">
            <v>201.52166724045509</v>
          </cell>
        </row>
        <row r="55">
          <cell r="B55" t="str">
            <v>CO2_T</v>
          </cell>
          <cell r="C55" t="str">
            <v>VAR_fout</v>
          </cell>
          <cell r="D55" t="str">
            <v>T_C-MHY-DSL-S3</v>
          </cell>
          <cell r="F55">
            <v>2.9796703285688099E-2</v>
          </cell>
          <cell r="G55">
            <v>0.12873818401204751</v>
          </cell>
          <cell r="H55">
            <v>0.49861753127838548</v>
          </cell>
          <cell r="I55">
            <v>83.318465072120262</v>
          </cell>
          <cell r="J55">
            <v>135.46387084046927</v>
          </cell>
        </row>
        <row r="56">
          <cell r="B56" t="str">
            <v>CO2_T</v>
          </cell>
          <cell r="C56" t="str">
            <v>VAR_fout</v>
          </cell>
          <cell r="D56" t="str">
            <v>T_B_c-HYBDSL-S1</v>
          </cell>
          <cell r="F56">
            <v>0.10178649693575401</v>
          </cell>
          <cell r="G56">
            <v>0.13335045593695941</v>
          </cell>
          <cell r="H56">
            <v>7.4487228747935008E-2</v>
          </cell>
          <cell r="I56">
            <v>0.38812442577953077</v>
          </cell>
          <cell r="J56">
            <v>0.14544939450497291</v>
          </cell>
        </row>
        <row r="57">
          <cell r="B57" t="str">
            <v>CO2_T</v>
          </cell>
          <cell r="C57" t="str">
            <v>VAR_fout</v>
          </cell>
          <cell r="D57" t="str">
            <v>T_C-MHY-DSL-S4</v>
          </cell>
          <cell r="F57">
            <v>1.9570759494560799E-2</v>
          </cell>
          <cell r="G57">
            <v>5.5606751393387804E-2</v>
          </cell>
          <cell r="H57">
            <v>9.3856018551721196E-2</v>
          </cell>
          <cell r="I57">
            <v>0.11560901011166354</v>
          </cell>
          <cell r="J57">
            <v>6.6228044200597608E-2</v>
          </cell>
        </row>
        <row r="58">
          <cell r="B58" t="str">
            <v>CO2_T</v>
          </cell>
          <cell r="C58" t="str">
            <v>VAR_fout</v>
          </cell>
          <cell r="D58" t="str">
            <v>T_B_c-HYBDSL-S2</v>
          </cell>
          <cell r="F58">
            <v>2.7067704187039899E-2</v>
          </cell>
          <cell r="G58">
            <v>3.3858077920682579</v>
          </cell>
          <cell r="H58">
            <v>19.563429846365068</v>
          </cell>
          <cell r="I58">
            <v>17.45054717407962</v>
          </cell>
          <cell r="J58">
            <v>15.921940659786245</v>
          </cell>
        </row>
        <row r="59">
          <cell r="B59" t="str">
            <v>CO2_T</v>
          </cell>
          <cell r="C59" t="str">
            <v>VAR_fout</v>
          </cell>
          <cell r="D59" t="str">
            <v>T_B_c-HYBDSL-S3</v>
          </cell>
          <cell r="F59">
            <v>1.6632176754575401E-2</v>
          </cell>
          <cell r="G59">
            <v>0.2345259896948117</v>
          </cell>
          <cell r="H59">
            <v>10.031538001868405</v>
          </cell>
          <cell r="I59">
            <v>8.9705521144567406</v>
          </cell>
          <cell r="J59">
            <v>8.1420418341011409</v>
          </cell>
        </row>
        <row r="60">
          <cell r="B60" t="str">
            <v>CO2_T</v>
          </cell>
          <cell r="C60" t="str">
            <v>VAR_fout</v>
          </cell>
          <cell r="D60" t="str">
            <v>T_B_c-HYBDSL-S4</v>
          </cell>
          <cell r="F60">
            <v>1.57718167859287E-3</v>
          </cell>
          <cell r="G60">
            <v>3.2608980898308801E-3</v>
          </cell>
          <cell r="H60">
            <v>2.139529079456672E-3</v>
          </cell>
          <cell r="I60">
            <v>3.2245640075745001E-3</v>
          </cell>
          <cell r="J60">
            <v>2.0297007680065301E-4</v>
          </cell>
        </row>
        <row r="61">
          <cell r="B61" t="str">
            <v>CO2_T</v>
          </cell>
          <cell r="C61" t="str">
            <v>VAR_fout</v>
          </cell>
          <cell r="D61" t="str">
            <v>TFHGV-ICEDSLExt</v>
          </cell>
          <cell r="E61">
            <v>1410.1677470101299</v>
          </cell>
          <cell r="F61">
            <v>1140.4792518648201</v>
          </cell>
          <cell r="G61">
            <v>841.31161143042505</v>
          </cell>
          <cell r="H61">
            <v>362.82781405946702</v>
          </cell>
        </row>
        <row r="62">
          <cell r="B62" t="str">
            <v>CO2_T</v>
          </cell>
          <cell r="C62" t="str">
            <v>VAR_fout</v>
          </cell>
          <cell r="D62" t="str">
            <v>TPSHPGSLEXT</v>
          </cell>
          <cell r="E62">
            <v>129.873812963153</v>
          </cell>
          <cell r="F62">
            <v>58.831437915695297</v>
          </cell>
          <cell r="G62">
            <v>2.07017993196623E-2</v>
          </cell>
          <cell r="H62">
            <v>1.55747772496681E-2</v>
          </cell>
          <cell r="I62">
            <v>6.4744988839855501E-3</v>
          </cell>
        </row>
        <row r="63">
          <cell r="B63" t="str">
            <v>CO2_T</v>
          </cell>
          <cell r="C63" t="str">
            <v>VAR_fout</v>
          </cell>
          <cell r="D63" t="str">
            <v>T_TW-ICEGSL-S1</v>
          </cell>
          <cell r="E63">
            <v>3.2639092137626471</v>
          </cell>
          <cell r="F63">
            <v>12.878633030337536</v>
          </cell>
          <cell r="G63">
            <v>25.520411388003339</v>
          </cell>
          <cell r="H63">
            <v>45.323908554468503</v>
          </cell>
          <cell r="I63">
            <v>65.947845604207828</v>
          </cell>
          <cell r="J63">
            <v>65.020847018267986</v>
          </cell>
        </row>
        <row r="64">
          <cell r="B64" t="str">
            <v>CO2_T</v>
          </cell>
          <cell r="C64" t="str">
            <v>VAR_fout</v>
          </cell>
          <cell r="D64" t="str">
            <v>TPSHPDSLEXT</v>
          </cell>
          <cell r="E64">
            <v>1273.9831592043399</v>
          </cell>
          <cell r="F64">
            <v>1273.98464263245</v>
          </cell>
          <cell r="G64">
            <v>1262.7164797006001</v>
          </cell>
          <cell r="H64">
            <v>1197.9467484576701</v>
          </cell>
          <cell r="I64">
            <v>1197.95638350938</v>
          </cell>
          <cell r="J64">
            <v>1197.95545362907</v>
          </cell>
        </row>
        <row r="65">
          <cell r="B65" t="str">
            <v>CO2_T</v>
          </cell>
          <cell r="C65" t="str">
            <v>VAR_fout</v>
          </cell>
          <cell r="D65" t="str">
            <v>T_TW-ICEGSL-S2</v>
          </cell>
          <cell r="E65">
            <v>8.2742280575364298</v>
          </cell>
          <cell r="F65">
            <v>12.029704157790203</v>
          </cell>
          <cell r="G65">
            <v>12.031826369377034</v>
          </cell>
          <cell r="H65">
            <v>7.5299608685847348</v>
          </cell>
          <cell r="I65">
            <v>4.3372088669086151E-2</v>
          </cell>
          <cell r="J65">
            <v>2.5830995129195958E-2</v>
          </cell>
        </row>
        <row r="66">
          <cell r="B66" t="str">
            <v>CO2_T</v>
          </cell>
          <cell r="C66" t="str">
            <v>VAR_fout</v>
          </cell>
          <cell r="D66" t="str">
            <v>T_TW-ICEGSL-S3</v>
          </cell>
          <cell r="E66">
            <v>12.028648026196318</v>
          </cell>
          <cell r="F66">
            <v>14.594879296482896</v>
          </cell>
          <cell r="G66">
            <v>14.838386763499798</v>
          </cell>
          <cell r="H66">
            <v>14.556148509621094</v>
          </cell>
          <cell r="I66">
            <v>3.4123861195993164</v>
          </cell>
          <cell r="J66">
            <v>2.4795461837999619E-2</v>
          </cell>
        </row>
        <row r="67">
          <cell r="B67" t="str">
            <v>CO2_T</v>
          </cell>
          <cell r="C67" t="str">
            <v>VAR_fout</v>
          </cell>
          <cell r="D67" t="str">
            <v>T_C-ICEGSLEXT</v>
          </cell>
          <cell r="E67">
            <v>4722.2884734792497</v>
          </cell>
          <cell r="F67">
            <v>3858.0415543612098</v>
          </cell>
          <cell r="G67">
            <v>3072.2335403362199</v>
          </cell>
          <cell r="H67">
            <v>874.08227829102998</v>
          </cell>
        </row>
        <row r="68">
          <cell r="B68" t="str">
            <v>CO2_T</v>
          </cell>
          <cell r="C68" t="str">
            <v>VAR_fout</v>
          </cell>
          <cell r="D68" t="str">
            <v>T_TW-ICEGSL-S4</v>
          </cell>
          <cell r="E68">
            <v>7.8418030726552299</v>
          </cell>
          <cell r="F68">
            <v>9.3126512718355574</v>
          </cell>
          <cell r="G68">
            <v>9.467304403767443</v>
          </cell>
          <cell r="H68">
            <v>9.309909216873022</v>
          </cell>
          <cell r="I68">
            <v>8.4592362762928932</v>
          </cell>
          <cell r="J68">
            <v>0.52685895648084369</v>
          </cell>
        </row>
        <row r="69">
          <cell r="B69" t="str">
            <v>CO2_T</v>
          </cell>
          <cell r="C69" t="str">
            <v>VAR_fout</v>
          </cell>
          <cell r="D69" t="str">
            <v>T_C-ICEDSLEXT</v>
          </cell>
          <cell r="E69">
            <v>3821.2865520940099</v>
          </cell>
          <cell r="F69">
            <v>3569.77748204314</v>
          </cell>
          <cell r="G69">
            <v>2555.7140673744798</v>
          </cell>
          <cell r="H69">
            <v>1175.1460506590199</v>
          </cell>
        </row>
        <row r="70">
          <cell r="B70" t="str">
            <v>CO2_T</v>
          </cell>
          <cell r="C70" t="str">
            <v>VAR_fout</v>
          </cell>
          <cell r="D70" t="str">
            <v>T_TW-ICEGSLEXT</v>
          </cell>
          <cell r="E70">
            <v>146.45484275577499</v>
          </cell>
          <cell r="F70">
            <v>110.495391926793</v>
          </cell>
          <cell r="G70">
            <v>76.677578274543094</v>
          </cell>
          <cell r="H70">
            <v>33.4425581655467</v>
          </cell>
        </row>
        <row r="71">
          <cell r="B71" t="str">
            <v>CO2_T</v>
          </cell>
          <cell r="C71" t="str">
            <v>VAR_fout</v>
          </cell>
          <cell r="D71" t="str">
            <v>TFLGV-ICENGA</v>
          </cell>
          <cell r="E71">
            <v>1.4296856424342259</v>
          </cell>
          <cell r="F71">
            <v>1.2632411532830807</v>
          </cell>
          <cell r="G71">
            <v>1.775686298685482</v>
          </cell>
          <cell r="H71">
            <v>8.9121207151029082E-3</v>
          </cell>
          <cell r="I71">
            <v>8.9845964806895082E-3</v>
          </cell>
          <cell r="J71">
            <v>7.6783821245039689E-3</v>
          </cell>
        </row>
        <row r="72">
          <cell r="B72" t="str">
            <v>CO2_T</v>
          </cell>
          <cell r="C72" t="str">
            <v>VAR_fout</v>
          </cell>
          <cell r="D72" t="str">
            <v>T_B_c-ICENGA-S1</v>
          </cell>
          <cell r="F72">
            <v>7.1549478677188603E-3</v>
          </cell>
          <cell r="G72">
            <v>4.2008061313821184E-2</v>
          </cell>
        </row>
        <row r="73">
          <cell r="B73" t="str">
            <v>CO2_T</v>
          </cell>
          <cell r="C73" t="str">
            <v>VAR_fout</v>
          </cell>
          <cell r="D73" t="str">
            <v>T_B_c-ICENGA-S2</v>
          </cell>
          <cell r="F73">
            <v>4.3620873141981299E-3</v>
          </cell>
          <cell r="G73">
            <v>2.4812680941283798E-2</v>
          </cell>
        </row>
        <row r="74">
          <cell r="B74" t="str">
            <v>CO2_T</v>
          </cell>
          <cell r="C74" t="str">
            <v>VAR_fout</v>
          </cell>
          <cell r="D74" t="str">
            <v>T_B_u-ICEDSL-S1</v>
          </cell>
          <cell r="E74">
            <v>2.1213475511170959E-2</v>
          </cell>
          <cell r="F74">
            <v>19.264028094238114</v>
          </cell>
          <cell r="G74">
            <v>34.151292528109757</v>
          </cell>
          <cell r="H74">
            <v>3.1538606307000899E-3</v>
          </cell>
        </row>
        <row r="75">
          <cell r="B75" t="str">
            <v>CO2_T</v>
          </cell>
          <cell r="C75" t="str">
            <v>VAR_fout</v>
          </cell>
          <cell r="D75" t="str">
            <v>T_B_c-ICENGA-S3</v>
          </cell>
          <cell r="F75">
            <v>3.2617821453150898E-3</v>
          </cell>
          <cell r="G75">
            <v>1.5541198262640801E-2</v>
          </cell>
        </row>
        <row r="76">
          <cell r="B76" t="str">
            <v>CO2_T</v>
          </cell>
          <cell r="C76" t="str">
            <v>VAR_fout</v>
          </cell>
          <cell r="D76" t="str">
            <v>T_B_u-ICEDSL-S2</v>
          </cell>
          <cell r="E76">
            <v>8.0191312361285494</v>
          </cell>
          <cell r="F76">
            <v>10.039286056130576</v>
          </cell>
          <cell r="G76">
            <v>16.433922916445752</v>
          </cell>
        </row>
        <row r="77">
          <cell r="B77" t="str">
            <v>CO2_T</v>
          </cell>
          <cell r="C77" t="str">
            <v>VAR_fout</v>
          </cell>
          <cell r="D77" t="str">
            <v>T_B_c-ICENGA-S4</v>
          </cell>
          <cell r="G77">
            <v>9.9182027403080394E-4</v>
          </cell>
        </row>
        <row r="78">
          <cell r="B78" t="str">
            <v>CO2_T</v>
          </cell>
          <cell r="C78" t="str">
            <v>VAR_fout</v>
          </cell>
          <cell r="D78" t="str">
            <v>T_B_u-ICEDSL-S3</v>
          </cell>
          <cell r="E78">
            <v>45.71157401648783</v>
          </cell>
          <cell r="F78">
            <v>63.840784462303382</v>
          </cell>
          <cell r="G78">
            <v>63.887534194621438</v>
          </cell>
        </row>
        <row r="79">
          <cell r="B79" t="str">
            <v>CO2_T</v>
          </cell>
          <cell r="C79" t="str">
            <v>VAR_fout</v>
          </cell>
          <cell r="D79" t="str">
            <v>T_B_u-ICEDSL-S4</v>
          </cell>
          <cell r="E79">
            <v>0.26739891661093718</v>
          </cell>
          <cell r="F79">
            <v>5.9617624412222885E-3</v>
          </cell>
          <cell r="G79">
            <v>1.8932584309044376E-2</v>
          </cell>
        </row>
        <row r="80">
          <cell r="B80" t="str">
            <v>CO2_T</v>
          </cell>
          <cell r="C80" t="str">
            <v>VAR_fout</v>
          </cell>
          <cell r="D80" t="str">
            <v>T_B_c-ICENGAEXT</v>
          </cell>
          <cell r="E80">
            <v>7.7987683155834103E-3</v>
          </cell>
          <cell r="F80">
            <v>7.8374272820719501E-3</v>
          </cell>
          <cell r="G80">
            <v>7.7496251133979902E-3</v>
          </cell>
        </row>
        <row r="81">
          <cell r="B81" t="str">
            <v>CO2_T</v>
          </cell>
          <cell r="C81" t="str">
            <v>VAR_fout</v>
          </cell>
          <cell r="D81" t="str">
            <v>T_B_u-ICEDSLEXT</v>
          </cell>
          <cell r="E81">
            <v>1.27091099487541</v>
          </cell>
          <cell r="F81">
            <v>1.26943299285819</v>
          </cell>
          <cell r="G81">
            <v>1.26445374316782</v>
          </cell>
        </row>
        <row r="82">
          <cell r="B82" t="str">
            <v>CO2_T</v>
          </cell>
          <cell r="C82" t="str">
            <v>VAR_fout</v>
          </cell>
          <cell r="D82" t="str">
            <v>T_C-HYBGSLEXT</v>
          </cell>
          <cell r="E82">
            <v>92.550649886890596</v>
          </cell>
          <cell r="F82">
            <v>91.724635574564303</v>
          </cell>
          <cell r="G82">
            <v>68.279087716899795</v>
          </cell>
          <cell r="H82">
            <v>32.396547196930499</v>
          </cell>
        </row>
        <row r="83">
          <cell r="B83" t="str">
            <v>CO2_T</v>
          </cell>
          <cell r="C83" t="str">
            <v>VAR_fout</v>
          </cell>
          <cell r="D83" t="str">
            <v>TPAVDKEREXT</v>
          </cell>
          <cell r="E83">
            <v>79.576349423418094</v>
          </cell>
          <cell r="F83">
            <v>100.796237247683</v>
          </cell>
          <cell r="G83">
            <v>132.626068984081</v>
          </cell>
          <cell r="H83">
            <v>185.675788544743</v>
          </cell>
          <cell r="I83">
            <v>154.38211110512901</v>
          </cell>
          <cell r="J83">
            <v>123.088433665514</v>
          </cell>
        </row>
        <row r="84">
          <cell r="B84" t="str">
            <v>CO2_T</v>
          </cell>
          <cell r="C84" t="str">
            <v>VAR_fout</v>
          </cell>
          <cell r="D84" t="str">
            <v>T_C-ICE-GSL-S1</v>
          </cell>
          <cell r="E84">
            <v>36.658437677333318</v>
          </cell>
          <cell r="F84">
            <v>40.645375466157155</v>
          </cell>
          <cell r="G84">
            <v>76.796293339716271</v>
          </cell>
          <cell r="H84">
            <v>64.118548579519754</v>
          </cell>
          <cell r="I84">
            <v>4.1917965574734231</v>
          </cell>
          <cell r="J84">
            <v>2.7883095914435579E-2</v>
          </cell>
        </row>
        <row r="85">
          <cell r="B85" t="str">
            <v>CO2_T</v>
          </cell>
          <cell r="C85" t="str">
            <v>VAR_fout</v>
          </cell>
          <cell r="D85" t="str">
            <v>TFLGV-ICEGSL</v>
          </cell>
          <cell r="E85">
            <v>26.849650650730879</v>
          </cell>
          <cell r="F85">
            <v>56.728059093798038</v>
          </cell>
          <cell r="G85">
            <v>89.556262864148152</v>
          </cell>
          <cell r="H85">
            <v>130.29061297617065</v>
          </cell>
          <cell r="I85">
            <v>100.69331149900474</v>
          </cell>
          <cell r="J85">
            <v>121.89859623127902</v>
          </cell>
        </row>
        <row r="86">
          <cell r="B86" t="str">
            <v>CO2_T</v>
          </cell>
          <cell r="C86" t="str">
            <v>VAR_fout</v>
          </cell>
          <cell r="D86" t="str">
            <v>T_C-ICE-GSL-S2</v>
          </cell>
          <cell r="E86">
            <v>277.63276842805033</v>
          </cell>
          <cell r="F86">
            <v>391.66234531041113</v>
          </cell>
          <cell r="G86">
            <v>389.6833577106832</v>
          </cell>
          <cell r="H86">
            <v>305.97352914553159</v>
          </cell>
          <cell r="I86">
            <v>0.47744864818338201</v>
          </cell>
          <cell r="J86">
            <v>7.0782522441972612E-2</v>
          </cell>
        </row>
        <row r="87">
          <cell r="B87" t="str">
            <v>CO2_T</v>
          </cell>
          <cell r="C87" t="str">
            <v>VAR_fout</v>
          </cell>
          <cell r="D87" t="str">
            <v>T_C-ICE-DSL-S1</v>
          </cell>
          <cell r="E87">
            <v>0.37716223059079274</v>
          </cell>
          <cell r="F87">
            <v>0.43995137140227814</v>
          </cell>
          <cell r="G87">
            <v>0.35986119684094553</v>
          </cell>
          <cell r="H87">
            <v>0.27422647525439486</v>
          </cell>
          <cell r="I87">
            <v>4.5614045899661081E-2</v>
          </cell>
          <cell r="J87">
            <v>1.6444722359633207E-2</v>
          </cell>
        </row>
        <row r="88">
          <cell r="B88" t="str">
            <v>CO2_T</v>
          </cell>
          <cell r="C88" t="str">
            <v>VAR_fout</v>
          </cell>
          <cell r="D88" t="str">
            <v>T_C-ICE-GSL-S3</v>
          </cell>
          <cell r="E88">
            <v>278.48748025522968</v>
          </cell>
          <cell r="F88">
            <v>423.66740160461717</v>
          </cell>
          <cell r="G88">
            <v>509.17031264429573</v>
          </cell>
          <cell r="H88">
            <v>417.12454380136381</v>
          </cell>
          <cell r="I88">
            <v>8.1399297041020358</v>
          </cell>
          <cell r="J88">
            <v>0.1242600061561794</v>
          </cell>
        </row>
        <row r="89">
          <cell r="B89" t="str">
            <v>CO2_T</v>
          </cell>
          <cell r="C89" t="str">
            <v>VAR_fout</v>
          </cell>
          <cell r="D89" t="str">
            <v>T_C-ICE-DSL-S2</v>
          </cell>
          <cell r="E89">
            <v>89.544109355623391</v>
          </cell>
          <cell r="F89">
            <v>94.063698240346724</v>
          </cell>
          <cell r="G89">
            <v>81.485291065674446</v>
          </cell>
          <cell r="H89">
            <v>61.041246956986406</v>
          </cell>
          <cell r="I89">
            <v>8.1458652663045236E-2</v>
          </cell>
          <cell r="J89">
            <v>2.9307069370936051E-2</v>
          </cell>
        </row>
        <row r="90">
          <cell r="B90" t="str">
            <v>CO2_T</v>
          </cell>
          <cell r="C90" t="str">
            <v>VAR_fout</v>
          </cell>
          <cell r="D90" t="str">
            <v>T_C-ICE-GSL-S4</v>
          </cell>
          <cell r="E90">
            <v>287.77864207426001</v>
          </cell>
          <cell r="F90">
            <v>387.80301842263907</v>
          </cell>
          <cell r="G90">
            <v>847.55773365526932</v>
          </cell>
          <cell r="H90">
            <v>1812.2701739951217</v>
          </cell>
          <cell r="I90">
            <v>2293.6707806932754</v>
          </cell>
          <cell r="J90">
            <v>1561.3821262462391</v>
          </cell>
        </row>
        <row r="91">
          <cell r="B91" t="str">
            <v>CO2_T</v>
          </cell>
          <cell r="C91" t="str">
            <v>VAR_fout</v>
          </cell>
          <cell r="D91" t="str">
            <v>T_C-ICE-DSL-S3</v>
          </cell>
          <cell r="E91">
            <v>369.44768279746711</v>
          </cell>
          <cell r="F91">
            <v>390.46698612918613</v>
          </cell>
          <cell r="G91">
            <v>386.73365180454465</v>
          </cell>
          <cell r="H91">
            <v>295.40046371103574</v>
          </cell>
          <cell r="I91">
            <v>9.0990630504071052E-2</v>
          </cell>
          <cell r="J91">
            <v>3.8163255983227902E-2</v>
          </cell>
        </row>
        <row r="92">
          <cell r="B92" t="str">
            <v>CO2_T</v>
          </cell>
          <cell r="C92" t="str">
            <v>VAR_fout</v>
          </cell>
          <cell r="D92" t="str">
            <v>T_C-ICE-DSL-S4</v>
          </cell>
          <cell r="E92">
            <v>141.92288801157261</v>
          </cell>
          <cell r="F92">
            <v>162.04932326043172</v>
          </cell>
          <cell r="G92">
            <v>158.8994571950702</v>
          </cell>
          <cell r="H92">
            <v>122.67031173057153</v>
          </cell>
          <cell r="I92">
            <v>5.3430016024451923E-2</v>
          </cell>
          <cell r="J92">
            <v>2.525476385452995E-2</v>
          </cell>
        </row>
        <row r="93">
          <cell r="B93" t="str">
            <v>CO2_T</v>
          </cell>
          <cell r="C93" t="str">
            <v>VAR_fout</v>
          </cell>
          <cell r="D93" t="str">
            <v>TFLGV-ICENGAExt</v>
          </cell>
          <cell r="E93">
            <v>6.0483802653697101</v>
          </cell>
          <cell r="F93">
            <v>1.8283320809204899</v>
          </cell>
          <cell r="G93">
            <v>3.9511358167093298</v>
          </cell>
          <cell r="H93">
            <v>2.6788630873784899E-3</v>
          </cell>
        </row>
        <row r="94">
          <cell r="B94" t="str">
            <v>CO2_T</v>
          </cell>
          <cell r="C94" t="str">
            <v>VAR_fout</v>
          </cell>
          <cell r="D94" t="str">
            <v>T_B_u-HYBDSL-S1</v>
          </cell>
          <cell r="F94">
            <v>0.30903190001408798</v>
          </cell>
          <cell r="G94">
            <v>0.33859335498811433</v>
          </cell>
          <cell r="H94">
            <v>2.0862007870336242E-2</v>
          </cell>
          <cell r="I94">
            <v>5.7857241915263175E-2</v>
          </cell>
          <cell r="J94">
            <v>4.1698715545779259E-2</v>
          </cell>
        </row>
        <row r="95">
          <cell r="B95" t="str">
            <v>CO2_T</v>
          </cell>
          <cell r="C95" t="str">
            <v>VAR_fout</v>
          </cell>
          <cell r="D95" t="str">
            <v>T_B_u-HYBDSL-S2</v>
          </cell>
          <cell r="F95">
            <v>3.2851972803969398E-2</v>
          </cell>
          <cell r="G95">
            <v>5.1462690113797796E-2</v>
          </cell>
          <cell r="H95">
            <v>3.4585070990339167E-2</v>
          </cell>
          <cell r="I95">
            <v>5.5942081610999422E-2</v>
          </cell>
          <cell r="J95">
            <v>3.693540742156378E-2</v>
          </cell>
        </row>
        <row r="96">
          <cell r="B96" t="str">
            <v>CO2_T</v>
          </cell>
          <cell r="C96" t="str">
            <v>VAR_fout</v>
          </cell>
          <cell r="D96" t="str">
            <v>T_B_u-HYBDSL-S3</v>
          </cell>
          <cell r="F96">
            <v>3.1604098054601399</v>
          </cell>
          <cell r="G96">
            <v>42.53674172060672</v>
          </cell>
          <cell r="H96">
            <v>71.128973611532103</v>
          </cell>
          <cell r="I96">
            <v>85.912952484752111</v>
          </cell>
          <cell r="J96">
            <v>102.3625097629287</v>
          </cell>
        </row>
        <row r="97">
          <cell r="B97" t="str">
            <v>CO2_T</v>
          </cell>
          <cell r="C97" t="str">
            <v>VAR_fout</v>
          </cell>
          <cell r="D97" t="str">
            <v>T_C-HY-GSL-S1</v>
          </cell>
          <cell r="E97">
            <v>3.3779840437774058</v>
          </cell>
          <cell r="F97">
            <v>3.9879540513637215</v>
          </cell>
          <cell r="G97">
            <v>2.8474718018317113</v>
          </cell>
          <cell r="H97">
            <v>2.2080408726498382</v>
          </cell>
          <cell r="I97">
            <v>60.895646726349192</v>
          </cell>
          <cell r="J97">
            <v>27.409981155896155</v>
          </cell>
        </row>
        <row r="98">
          <cell r="B98" t="str">
            <v>CO2_T</v>
          </cell>
          <cell r="C98" t="str">
            <v>VAR_fout</v>
          </cell>
          <cell r="D98" t="str">
            <v>T_B_u-HYBDSL-S4</v>
          </cell>
          <cell r="F98">
            <v>8.6716330396697096E-4</v>
          </cell>
          <cell r="G98">
            <v>2.0280239361520421E-3</v>
          </cell>
          <cell r="H98">
            <v>8.7897920996139094E-4</v>
          </cell>
          <cell r="I98">
            <v>2.16875881789765E-3</v>
          </cell>
          <cell r="J98">
            <v>4.5928319246630201E-5</v>
          </cell>
        </row>
        <row r="99">
          <cell r="B99" t="str">
            <v>CO2_T</v>
          </cell>
          <cell r="C99" t="str">
            <v>VAR_fout</v>
          </cell>
          <cell r="D99" t="str">
            <v>TFRLFDSLEXT</v>
          </cell>
          <cell r="E99">
            <v>29.033280808108699</v>
          </cell>
          <cell r="F99">
            <v>20.343370198331801</v>
          </cell>
          <cell r="G99">
            <v>4.2894416060917803E-2</v>
          </cell>
          <cell r="H99">
            <v>4.4693881474670002E-2</v>
          </cell>
          <cell r="I99">
            <v>4.4656533631160199E-2</v>
          </cell>
          <cell r="J99">
            <v>2.2641658152856198E-2</v>
          </cell>
        </row>
        <row r="100">
          <cell r="B100" t="str">
            <v>CO2_T</v>
          </cell>
          <cell r="C100" t="str">
            <v>VAR_fout</v>
          </cell>
          <cell r="D100" t="str">
            <v>T_C-HY-GSL-S2</v>
          </cell>
          <cell r="E100">
            <v>10.213534704615828</v>
          </cell>
          <cell r="F100">
            <v>18.331046129806349</v>
          </cell>
          <cell r="G100">
            <v>45.290899211145032</v>
          </cell>
          <cell r="H100">
            <v>38.077824281090706</v>
          </cell>
          <cell r="I100">
            <v>74.483826351832533</v>
          </cell>
          <cell r="J100">
            <v>101.5721103713807</v>
          </cell>
        </row>
        <row r="101">
          <cell r="B101" t="str">
            <v>CO2_T</v>
          </cell>
          <cell r="C101" t="str">
            <v>VAR_fout</v>
          </cell>
          <cell r="D101" t="str">
            <v>T_C-HY-DSL-S1</v>
          </cell>
          <cell r="E101">
            <v>2.36394521669114E-3</v>
          </cell>
          <cell r="F101">
            <v>12.931177148143902</v>
          </cell>
          <cell r="G101">
            <v>8.6565019993689578</v>
          </cell>
          <cell r="H101">
            <v>6.9804784951486631</v>
          </cell>
          <cell r="I101">
            <v>81.876738375976785</v>
          </cell>
          <cell r="J101">
            <v>29.582005669752288</v>
          </cell>
        </row>
        <row r="102">
          <cell r="B102" t="str">
            <v>CO2_T</v>
          </cell>
          <cell r="C102" t="str">
            <v>VAR_fout</v>
          </cell>
          <cell r="D102" t="str">
            <v>T_C-HY-GSL-S3</v>
          </cell>
          <cell r="E102">
            <v>7.5737366920197946</v>
          </cell>
          <cell r="F102">
            <v>89.911124889369773</v>
          </cell>
          <cell r="G102">
            <v>85.035351718417033</v>
          </cell>
          <cell r="H102">
            <v>68.019685686346804</v>
          </cell>
          <cell r="I102">
            <v>7.7632437782488573E-2</v>
          </cell>
          <cell r="J102">
            <v>4.9068747509216699E-2</v>
          </cell>
        </row>
        <row r="103">
          <cell r="B103" t="str">
            <v>CO2_T</v>
          </cell>
          <cell r="C103" t="str">
            <v>VAR_fout</v>
          </cell>
          <cell r="D103" t="str">
            <v>T_C-HY-DSL-S2</v>
          </cell>
          <cell r="E103">
            <v>0.20341079485109231</v>
          </cell>
          <cell r="F103">
            <v>45.156960165359713</v>
          </cell>
          <cell r="G103">
            <v>82.259862763125625</v>
          </cell>
          <cell r="H103">
            <v>69.162497677479735</v>
          </cell>
          <cell r="I103">
            <v>9.407146185326809</v>
          </cell>
          <cell r="J103">
            <v>109.41582661998245</v>
          </cell>
        </row>
        <row r="104">
          <cell r="B104" t="str">
            <v>CO2_T</v>
          </cell>
          <cell r="C104" t="str">
            <v>VAR_fout</v>
          </cell>
          <cell r="D104" t="str">
            <v>T_C-HY-GSL-S4</v>
          </cell>
          <cell r="E104">
            <v>6.6937361794855788</v>
          </cell>
          <cell r="F104">
            <v>10.003697328694905</v>
          </cell>
          <cell r="G104">
            <v>9.5912445570250799</v>
          </cell>
          <cell r="H104">
            <v>7.9857858506950832</v>
          </cell>
          <cell r="I104">
            <v>0.10342156370440254</v>
          </cell>
          <cell r="J104">
            <v>0.16172970333757819</v>
          </cell>
        </row>
        <row r="105">
          <cell r="B105" t="str">
            <v>CO2_T</v>
          </cell>
          <cell r="C105" t="str">
            <v>VAR_fout</v>
          </cell>
          <cell r="D105" t="str">
            <v>T_C-HY-DSL-S3</v>
          </cell>
          <cell r="E105">
            <v>2.1439061884335446</v>
          </cell>
          <cell r="F105">
            <v>3.3538928544686044</v>
          </cell>
          <cell r="G105">
            <v>3.2163419529572788</v>
          </cell>
          <cell r="H105">
            <v>2.4335160602558128</v>
          </cell>
          <cell r="I105">
            <v>7.7228735430530784E-2</v>
          </cell>
          <cell r="J105">
            <v>4.8882175071218295E-2</v>
          </cell>
        </row>
        <row r="106">
          <cell r="B106" t="str">
            <v>CO2_T</v>
          </cell>
          <cell r="C106" t="str">
            <v>VAR_fout</v>
          </cell>
          <cell r="D106" t="str">
            <v>T_C-HY-DSL-S4</v>
          </cell>
          <cell r="E106">
            <v>2.581175629955279</v>
          </cell>
          <cell r="F106">
            <v>5.2244726274080371</v>
          </cell>
          <cell r="G106">
            <v>4.9567988768646449</v>
          </cell>
          <cell r="H106">
            <v>4.0890948264827784</v>
          </cell>
          <cell r="I106">
            <v>0.10303595735964974</v>
          </cell>
          <cell r="J106">
            <v>0.1640339699234451</v>
          </cell>
        </row>
        <row r="107">
          <cell r="B107" t="str">
            <v>CO2_T</v>
          </cell>
          <cell r="C107" t="str">
            <v>VAR_fout</v>
          </cell>
          <cell r="D107" t="str">
            <v>TFHGV-HYBDSL</v>
          </cell>
          <cell r="F107">
            <v>84.936425570959301</v>
          </cell>
          <cell r="G107">
            <v>306.5781613321376</v>
          </cell>
          <cell r="H107">
            <v>818.28548436624123</v>
          </cell>
          <cell r="I107">
            <v>1125.714930665366</v>
          </cell>
          <cell r="J107">
            <v>1217.2936274155907</v>
          </cell>
        </row>
        <row r="108">
          <cell r="B108" t="str">
            <v>CO2_T</v>
          </cell>
          <cell r="C108" t="str">
            <v>VAR_fout</v>
          </cell>
          <cell r="D108" t="str">
            <v>TFHGV-ICEDSL</v>
          </cell>
          <cell r="E108">
            <v>381.66189186547928</v>
          </cell>
          <cell r="F108">
            <v>447.3889614546556</v>
          </cell>
          <cell r="G108">
            <v>350.8328580806695</v>
          </cell>
          <cell r="H108">
            <v>32.382510768794916</v>
          </cell>
          <cell r="I108">
            <v>0.24992866627303301</v>
          </cell>
          <cell r="J108">
            <v>9.1447944715276799E-2</v>
          </cell>
        </row>
        <row r="109">
          <cell r="B109" t="str">
            <v>CO2_T</v>
          </cell>
          <cell r="C109" t="str">
            <v>VAR_fout</v>
          </cell>
          <cell r="D109" t="str">
            <v>T-Plg-DSL-mix_S1</v>
          </cell>
          <cell r="E109">
            <v>1.2915306224547101E-3</v>
          </cell>
          <cell r="F109">
            <v>4.6848427746203403E-2</v>
          </cell>
          <cell r="G109">
            <v>6.839912201778181E-2</v>
          </cell>
          <cell r="H109">
            <v>6.8666757803322001E-2</v>
          </cell>
          <cell r="I109">
            <v>5.4784941455088818E-2</v>
          </cell>
          <cell r="J109">
            <v>2.900717036341479E-2</v>
          </cell>
        </row>
        <row r="110">
          <cell r="B110" t="str">
            <v>CO2_T</v>
          </cell>
          <cell r="C110" t="str">
            <v>VAR_fout</v>
          </cell>
          <cell r="D110" t="str">
            <v>T-Plg-DSL-mix_S2</v>
          </cell>
          <cell r="E110">
            <v>1.04879214095718E-3</v>
          </cell>
          <cell r="F110">
            <v>5.1123145157507002E-2</v>
          </cell>
          <cell r="G110">
            <v>0.19619810631289841</v>
          </cell>
          <cell r="H110">
            <v>0.2686344156817283</v>
          </cell>
          <cell r="I110">
            <v>0.24291414708108927</v>
          </cell>
          <cell r="J110">
            <v>0.11793705976110341</v>
          </cell>
        </row>
        <row r="111">
          <cell r="B111" t="str">
            <v>CO2_T</v>
          </cell>
          <cell r="C111" t="str">
            <v>VAR_fout</v>
          </cell>
          <cell r="D111" t="str">
            <v>T-Plg-DSL-mix_S3</v>
          </cell>
          <cell r="E111">
            <v>8.2097353090881606E-3</v>
          </cell>
          <cell r="F111">
            <v>0.99047876662051804</v>
          </cell>
          <cell r="G111">
            <v>106.15120694176821</v>
          </cell>
          <cell r="H111">
            <v>462.31079527042789</v>
          </cell>
          <cell r="I111">
            <v>815.47024049750451</v>
          </cell>
          <cell r="J111">
            <v>586.43571385509915</v>
          </cell>
        </row>
        <row r="112">
          <cell r="B112" t="str">
            <v>CO2_T</v>
          </cell>
          <cell r="C112" t="str">
            <v>VAR_fout</v>
          </cell>
          <cell r="D112" t="str">
            <v>T_B_c-ICEDSL-S1</v>
          </cell>
          <cell r="E112">
            <v>8.3165777710715503</v>
          </cell>
          <cell r="F112">
            <v>22.744565796599289</v>
          </cell>
          <cell r="G112">
            <v>27.677456701811558</v>
          </cell>
        </row>
        <row r="113">
          <cell r="B113" t="str">
            <v>CO2_T</v>
          </cell>
          <cell r="C113" t="str">
            <v>VAR_fout</v>
          </cell>
          <cell r="D113" t="str">
            <v>T-Plg-DSL-mix_S4</v>
          </cell>
          <cell r="E113">
            <v>0.41721689573836201</v>
          </cell>
          <cell r="F113">
            <v>1.368083998558778</v>
          </cell>
          <cell r="G113">
            <v>1.4939540537461931</v>
          </cell>
          <cell r="H113">
            <v>1.3805122354805937</v>
          </cell>
          <cell r="I113">
            <v>0.38731003365184458</v>
          </cell>
          <cell r="J113">
            <v>0.19778660116996161</v>
          </cell>
        </row>
        <row r="114">
          <cell r="B114" t="str">
            <v>CO2_T</v>
          </cell>
          <cell r="C114" t="str">
            <v>VAR_fout</v>
          </cell>
          <cell r="D114" t="str">
            <v>T_B_c-ICEDSL-S2</v>
          </cell>
          <cell r="E114">
            <v>38.077504450979902</v>
          </cell>
          <cell r="F114">
            <v>29.242555166488096</v>
          </cell>
          <cell r="G114">
            <v>31.408455180490048</v>
          </cell>
        </row>
        <row r="115">
          <cell r="B115" t="str">
            <v>CO2_T</v>
          </cell>
          <cell r="C115" t="str">
            <v>VAR_fout</v>
          </cell>
          <cell r="D115" t="str">
            <v>T_B_c-ICEDSL-S3</v>
          </cell>
          <cell r="E115">
            <v>11.673321912565241</v>
          </cell>
          <cell r="F115">
            <v>9.3618893947092996</v>
          </cell>
          <cell r="G115">
            <v>11.250349603284446</v>
          </cell>
        </row>
        <row r="116">
          <cell r="B116" t="str">
            <v>CO2_T</v>
          </cell>
          <cell r="C116" t="str">
            <v>VAR_fout</v>
          </cell>
          <cell r="D116" t="str">
            <v>T_B_c-ICEDSL-S4</v>
          </cell>
          <cell r="E116">
            <v>1.0079906304290096</v>
          </cell>
          <cell r="F116">
            <v>1.014829712331659E-2</v>
          </cell>
          <cell r="G116">
            <v>2.0885610802335138E-2</v>
          </cell>
        </row>
        <row r="117">
          <cell r="B117" t="str">
            <v>CO2_T</v>
          </cell>
          <cell r="C117" t="str">
            <v>VAR_fout</v>
          </cell>
          <cell r="D117" t="str">
            <v>T_B_u-ICENGA-S1</v>
          </cell>
          <cell r="F117">
            <v>8.5262764267119394E-3</v>
          </cell>
          <cell r="G117">
            <v>6.3315743070225194E-2</v>
          </cell>
          <cell r="H117">
            <v>1.13815347293854E-4</v>
          </cell>
          <cell r="I117">
            <v>7.4039420713012294E-5</v>
          </cell>
          <cell r="J117">
            <v>5.22833704296058E-5</v>
          </cell>
        </row>
        <row r="118">
          <cell r="B118" t="str">
            <v>CO2_T</v>
          </cell>
          <cell r="C118" t="str">
            <v>VAR_fout</v>
          </cell>
          <cell r="D118" t="str">
            <v>T_B_u-ICENGA-S2</v>
          </cell>
          <cell r="F118">
            <v>4.9272786701558702E-3</v>
          </cell>
          <cell r="G118">
            <v>0.96912030276284644</v>
          </cell>
        </row>
        <row r="119">
          <cell r="B119" t="str">
            <v>CO2_T</v>
          </cell>
          <cell r="C119" t="str">
            <v>VAR_fout</v>
          </cell>
          <cell r="D119" t="str">
            <v>T_B_c-ICEDSLEXT</v>
          </cell>
          <cell r="E119">
            <v>0.44185775319287801</v>
          </cell>
          <cell r="F119">
            <v>0.44083086680512601</v>
          </cell>
          <cell r="G119">
            <v>0.43762245389585303</v>
          </cell>
        </row>
        <row r="120">
          <cell r="B120" t="str">
            <v>CO2_T</v>
          </cell>
          <cell r="C120" t="str">
            <v>VAR_fout</v>
          </cell>
          <cell r="D120" t="str">
            <v>T_B_u-ICENGA-S3</v>
          </cell>
          <cell r="F120">
            <v>4.0268185619776299E-3</v>
          </cell>
          <cell r="G120">
            <v>1.9653058877710718E-2</v>
          </cell>
        </row>
        <row r="121">
          <cell r="B121" t="str">
            <v>CO2_T</v>
          </cell>
          <cell r="C121" t="str">
            <v>VAR_fout</v>
          </cell>
          <cell r="D121" t="str">
            <v>T_B_u-ICENGA-S4</v>
          </cell>
          <cell r="G121">
            <v>1.43687928563294E-4</v>
          </cell>
        </row>
        <row r="122">
          <cell r="B122" t="str">
            <v>CO2_T</v>
          </cell>
          <cell r="C122" t="str">
            <v>VAR_comnet</v>
          </cell>
          <cell r="D122" t="str">
            <v>-</v>
          </cell>
          <cell r="E122">
            <v>15008.4152568519</v>
          </cell>
          <cell r="F122">
            <v>14305.7386737374</v>
          </cell>
          <cell r="G122">
            <v>12972.949087962999</v>
          </cell>
          <cell r="H122">
            <v>9917.1490123755393</v>
          </cell>
          <cell r="I122">
            <v>6750.7524612805701</v>
          </cell>
          <cell r="J122">
            <v>5907.2335411173599</v>
          </cell>
        </row>
        <row r="123">
          <cell r="B123" t="str">
            <v>CO2</v>
          </cell>
          <cell r="C123" t="str">
            <v>VAR_fout</v>
          </cell>
          <cell r="D123" t="str">
            <v>othGHG</v>
          </cell>
          <cell r="E123">
            <v>9468.5879275113693</v>
          </cell>
          <cell r="F123">
            <v>9017.6260802509805</v>
          </cell>
          <cell r="G123">
            <v>8566.6642329905499</v>
          </cell>
          <cell r="H123">
            <v>8776.5267894526096</v>
          </cell>
          <cell r="I123">
            <v>9019.0676621471102</v>
          </cell>
          <cell r="J123">
            <v>9415.6195357760098</v>
          </cell>
        </row>
        <row r="124">
          <cell r="B124" t="str">
            <v>CO2</v>
          </cell>
          <cell r="C124" t="str">
            <v>VAR_fout</v>
          </cell>
          <cell r="D124" t="str">
            <v>D-ICOA</v>
          </cell>
          <cell r="E124">
            <v>330.01387342027198</v>
          </cell>
          <cell r="F124">
            <v>321.17962465988097</v>
          </cell>
          <cell r="G124">
            <v>299.08601325874901</v>
          </cell>
          <cell r="H124">
            <v>5.9657265970291203E-2</v>
          </cell>
          <cell r="I124">
            <v>5.8666808787038498E-2</v>
          </cell>
          <cell r="J124">
            <v>3.2253686457066097E-2</v>
          </cell>
        </row>
        <row r="125">
          <cell r="B125" t="str">
            <v>CO2</v>
          </cell>
          <cell r="C125" t="str">
            <v>VAR_fout</v>
          </cell>
          <cell r="D125" t="str">
            <v>D-ENGA</v>
          </cell>
          <cell r="E125">
            <v>311.47660488767701</v>
          </cell>
          <cell r="F125">
            <v>181.653341863836</v>
          </cell>
          <cell r="G125">
            <v>58.098372731884403</v>
          </cell>
          <cell r="H125">
            <v>174.45571397126801</v>
          </cell>
          <cell r="I125">
            <v>324.54935936368298</v>
          </cell>
          <cell r="J125">
            <v>1011.75600865025</v>
          </cell>
        </row>
        <row r="126">
          <cell r="B126" t="str">
            <v>CO2</v>
          </cell>
          <cell r="C126" t="str">
            <v>VAR_fout</v>
          </cell>
          <cell r="D126" t="str">
            <v>D-ILFO</v>
          </cell>
          <cell r="E126">
            <v>689.07517068455797</v>
          </cell>
          <cell r="F126">
            <v>659.57595052482202</v>
          </cell>
          <cell r="G126">
            <v>598.676542288782</v>
          </cell>
          <cell r="H126">
            <v>523.430875047521</v>
          </cell>
          <cell r="I126">
            <v>150.53794995233201</v>
          </cell>
          <cell r="J126">
            <v>1.68272785712054E-2</v>
          </cell>
        </row>
        <row r="127">
          <cell r="B127" t="str">
            <v>CO2</v>
          </cell>
          <cell r="C127" t="str">
            <v>VAR_fout</v>
          </cell>
          <cell r="D127" t="str">
            <v>D-TDSL</v>
          </cell>
          <cell r="E127">
            <v>8676.3600203181595</v>
          </cell>
          <cell r="F127">
            <v>8259.8865104678607</v>
          </cell>
          <cell r="G127">
            <v>7050.2463614682001</v>
          </cell>
          <cell r="H127">
            <v>5284.8614664914803</v>
          </cell>
          <cell r="I127">
            <v>3590.1790458624901</v>
          </cell>
          <cell r="J127">
            <v>3519.4204674952198</v>
          </cell>
        </row>
        <row r="128">
          <cell r="B128" t="str">
            <v>CO2</v>
          </cell>
          <cell r="C128" t="str">
            <v>VAR_fout</v>
          </cell>
          <cell r="D128" t="str">
            <v>ITOT-PROCESSCO2</v>
          </cell>
          <cell r="E128">
            <v>2089.34680048464</v>
          </cell>
          <cell r="F128">
            <v>2111.0131698740802</v>
          </cell>
          <cell r="G128">
            <v>2102.26947106126</v>
          </cell>
          <cell r="H128">
            <v>2093.6570624126398</v>
          </cell>
          <cell r="I128">
            <v>2077.4128471263102</v>
          </cell>
          <cell r="J128">
            <v>2063.74855625499</v>
          </cell>
        </row>
        <row r="129">
          <cell r="B129" t="str">
            <v>CO2</v>
          </cell>
          <cell r="C129" t="str">
            <v>VAR_fout</v>
          </cell>
          <cell r="D129" t="str">
            <v>D-ELFO</v>
          </cell>
          <cell r="E129">
            <v>26.784235739814001</v>
          </cell>
          <cell r="F129">
            <v>16.433265289711201</v>
          </cell>
          <cell r="G129">
            <v>1.59535341999321</v>
          </cell>
          <cell r="H129">
            <v>0.38091723539771999</v>
          </cell>
          <cell r="I129">
            <v>0.76819543590859596</v>
          </cell>
          <cell r="J129">
            <v>0.70269916891426998</v>
          </cell>
        </row>
        <row r="130">
          <cell r="B130" t="str">
            <v>CO2</v>
          </cell>
          <cell r="C130" t="str">
            <v>VAR_fout</v>
          </cell>
          <cell r="D130" t="str">
            <v>D-TNGA</v>
          </cell>
          <cell r="E130">
            <v>16.079602200885301</v>
          </cell>
          <cell r="F130">
            <v>7.8366588570335702</v>
          </cell>
          <cell r="G130">
            <v>11.7830984532924</v>
          </cell>
          <cell r="H130">
            <v>0.29193030740193399</v>
          </cell>
          <cell r="I130">
            <v>0.26731013473145498</v>
          </cell>
          <cell r="J130">
            <v>0.24131439454405401</v>
          </cell>
        </row>
        <row r="131">
          <cell r="B131" t="str">
            <v>CO2</v>
          </cell>
          <cell r="C131" t="str">
            <v>VAR_fout</v>
          </cell>
          <cell r="D131" t="str">
            <v>D-SNGA</v>
          </cell>
          <cell r="E131">
            <v>1522.32001151143</v>
          </cell>
          <cell r="F131">
            <v>1515.8026687721399</v>
          </cell>
          <cell r="G131">
            <v>1368.861459512</v>
          </cell>
          <cell r="H131">
            <v>1294.91075871055</v>
          </cell>
          <cell r="I131">
            <v>982.98764734646795</v>
          </cell>
          <cell r="J131">
            <v>1258.8191082783701</v>
          </cell>
        </row>
        <row r="132">
          <cell r="B132" t="str">
            <v>CO2</v>
          </cell>
          <cell r="C132" t="str">
            <v>VAR_fout</v>
          </cell>
          <cell r="D132" t="str">
            <v>CO2compabroad</v>
          </cell>
          <cell r="H132">
            <v>-6320.2779900565802</v>
          </cell>
          <cell r="I132">
            <v>-955.03024447250198</v>
          </cell>
          <cell r="J132">
            <v>-4.0485004190718503E-4</v>
          </cell>
        </row>
        <row r="133">
          <cell r="B133" t="str">
            <v>CO2</v>
          </cell>
          <cell r="C133" t="str">
            <v>VAR_fout</v>
          </cell>
          <cell r="D133" t="str">
            <v>D-RNGA</v>
          </cell>
          <cell r="E133">
            <v>2651.86138300121</v>
          </cell>
          <cell r="F133">
            <v>2613.6737884106101</v>
          </cell>
          <cell r="G133">
            <v>2679.7545785109901</v>
          </cell>
          <cell r="H133">
            <v>2614.0699807956498</v>
          </cell>
          <cell r="I133">
            <v>2578.6174216145801</v>
          </cell>
          <cell r="J133">
            <v>2128.76192929948</v>
          </cell>
        </row>
        <row r="134">
          <cell r="B134" t="str">
            <v>CO2</v>
          </cell>
          <cell r="C134" t="str">
            <v>VAR_fout</v>
          </cell>
          <cell r="D134" t="str">
            <v>D-IHFO</v>
          </cell>
          <cell r="E134">
            <v>213.781904816398</v>
          </cell>
          <cell r="F134">
            <v>203.09540523844399</v>
          </cell>
          <cell r="G134">
            <v>0.25238764921894702</v>
          </cell>
          <cell r="H134">
            <v>4.5849994996031401E-2</v>
          </cell>
          <cell r="I134">
            <v>5.43182381215086E-2</v>
          </cell>
        </row>
        <row r="135">
          <cell r="B135" t="str">
            <v>CO2</v>
          </cell>
          <cell r="C135" t="str">
            <v>VAR_fout</v>
          </cell>
          <cell r="D135" t="str">
            <v>D-SLFO</v>
          </cell>
          <cell r="E135">
            <v>2267.7886725573599</v>
          </cell>
          <cell r="F135">
            <v>1988.1083392676701</v>
          </cell>
          <cell r="G135">
            <v>1985.93539075386</v>
          </cell>
          <cell r="H135">
            <v>1438.3802653319999</v>
          </cell>
          <cell r="I135">
            <v>900.85933718968204</v>
          </cell>
          <cell r="J135">
            <v>389.30618083760402</v>
          </cell>
        </row>
        <row r="136">
          <cell r="B136" t="str">
            <v>CO2</v>
          </cell>
          <cell r="C136" t="str">
            <v>VAR_fout</v>
          </cell>
          <cell r="D136" t="str">
            <v>D-RCOA</v>
          </cell>
          <cell r="E136">
            <v>9.2703674609388091</v>
          </cell>
          <cell r="F136">
            <v>9.2702427911698706</v>
          </cell>
          <cell r="G136">
            <v>2.4987500003717402</v>
          </cell>
          <cell r="H136">
            <v>0.56198255957779597</v>
          </cell>
        </row>
        <row r="137">
          <cell r="B137" t="str">
            <v>CO2</v>
          </cell>
          <cell r="C137" t="str">
            <v>VAR_fout</v>
          </cell>
          <cell r="D137" t="str">
            <v>D-RLFO</v>
          </cell>
          <cell r="E137">
            <v>4514.4866764600702</v>
          </cell>
          <cell r="F137">
            <v>3846.5290514143899</v>
          </cell>
          <cell r="G137">
            <v>3738.7366679840602</v>
          </cell>
          <cell r="H137">
            <v>2434.1112412084699</v>
          </cell>
          <cell r="I137">
            <v>1291.1150741393801</v>
          </cell>
          <cell r="J137">
            <v>427.451479614341</v>
          </cell>
        </row>
        <row r="138">
          <cell r="B138" t="str">
            <v>CO2</v>
          </cell>
          <cell r="C138" t="str">
            <v>VAR_fout</v>
          </cell>
          <cell r="D138" t="str">
            <v>D-TGSL</v>
          </cell>
          <cell r="E138">
            <v>5894.9936043378602</v>
          </cell>
          <cell r="F138">
            <v>5602.5266142349701</v>
          </cell>
          <cell r="G138">
            <v>5328.3336987614302</v>
          </cell>
          <cell r="H138">
            <v>4106.9020453692501</v>
          </cell>
          <cell r="I138">
            <v>2794.3474737003098</v>
          </cell>
          <cell r="J138">
            <v>2079.6461514724901</v>
          </cell>
        </row>
        <row r="139">
          <cell r="B139" t="str">
            <v>CO2</v>
          </cell>
          <cell r="C139" t="str">
            <v>VAR_fout</v>
          </cell>
          <cell r="D139" t="str">
            <v>D-IWST</v>
          </cell>
          <cell r="E139">
            <v>1068.13279528712</v>
          </cell>
          <cell r="F139">
            <v>1094.48216450625</v>
          </cell>
          <cell r="G139">
            <v>1024.64128738821</v>
          </cell>
          <cell r="H139">
            <v>1013.19808334661</v>
          </cell>
          <cell r="I139">
            <v>996.69841915349605</v>
          </cell>
          <cell r="J139">
            <v>986.58514587802904</v>
          </cell>
        </row>
        <row r="140">
          <cell r="B140" t="str">
            <v>CO2</v>
          </cell>
          <cell r="C140" t="str">
            <v>VAR_fout</v>
          </cell>
          <cell r="D140" t="str">
            <v>D-TKER</v>
          </cell>
          <cell r="E140">
            <v>80.683447715053006</v>
          </cell>
          <cell r="F140">
            <v>102.298399652996</v>
          </cell>
          <cell r="G140">
            <v>134.50948955266199</v>
          </cell>
          <cell r="H140">
            <v>186.672697499018</v>
          </cell>
          <cell r="I140">
            <v>84.203396732209299</v>
          </cell>
          <cell r="J140">
            <v>54.975393498484898</v>
          </cell>
        </row>
        <row r="141">
          <cell r="B141" t="str">
            <v>CO2</v>
          </cell>
          <cell r="C141" t="str">
            <v>VAR_fout</v>
          </cell>
          <cell r="D141" t="str">
            <v>D-INGA</v>
          </cell>
          <cell r="E141">
            <v>2101.66037881376</v>
          </cell>
          <cell r="F141">
            <v>1700.0385497565301</v>
          </cell>
          <cell r="G141">
            <v>1855.82093028534</v>
          </cell>
          <cell r="H141">
            <v>1668.16340155683</v>
          </cell>
          <cell r="I141">
            <v>1426.1212652803599</v>
          </cell>
          <cell r="J141">
            <v>1050.8783012149399</v>
          </cell>
        </row>
        <row r="142">
          <cell r="B142" t="str">
            <v>CO2</v>
          </cell>
          <cell r="C142" t="str">
            <v>VAR_fout</v>
          </cell>
          <cell r="D142" t="str">
            <v>D-EWST</v>
          </cell>
          <cell r="E142">
            <v>2266.2757909183001</v>
          </cell>
          <cell r="F142">
            <v>2235.40341917664</v>
          </cell>
          <cell r="G142">
            <v>2268.7810584098202</v>
          </cell>
          <cell r="H142">
            <v>2238.5110416731</v>
          </cell>
          <cell r="I142">
            <v>2266.09876685886</v>
          </cell>
          <cell r="J142">
            <v>2317.3898071400999</v>
          </cell>
        </row>
        <row r="143">
          <cell r="B143" t="str">
            <v>CO2</v>
          </cell>
          <cell r="C143" t="str">
            <v>VAR_comnet</v>
          </cell>
          <cell r="D143" t="str">
            <v>-</v>
          </cell>
          <cell r="H143">
            <v>27528.9137701738</v>
          </cell>
          <cell r="I143">
            <v>27528.913912612301</v>
          </cell>
          <cell r="J143">
            <v>26705.350755088701</v>
          </cell>
        </row>
        <row r="144">
          <cell r="B144" t="str">
            <v>CO2</v>
          </cell>
          <cell r="C144" t="str">
            <v>EQ_combalM</v>
          </cell>
          <cell r="D144" t="str">
            <v>-</v>
          </cell>
          <cell r="H144">
            <v>-5.7542166507671903E-2</v>
          </cell>
          <cell r="I144">
            <v>-7.2959369057231702E-2</v>
          </cell>
          <cell r="J144">
            <v>2.8068810726368598E-7</v>
          </cell>
        </row>
        <row r="145">
          <cell r="B145" t="str">
            <v>CO2_SECTOR</v>
          </cell>
          <cell r="C145" t="str">
            <v>VAR_fout</v>
          </cell>
          <cell r="D145" t="str">
            <v>CO2_IND</v>
          </cell>
          <cell r="E145">
            <v>6492.0109235067457</v>
          </cell>
          <cell r="F145">
            <v>6089.3848645600201</v>
          </cell>
          <cell r="G145">
            <v>5880.7466319315536</v>
          </cell>
          <cell r="H145">
            <v>5298.5549296245745</v>
          </cell>
          <cell r="I145">
            <v>4650.8834665593968</v>
          </cell>
          <cell r="J145">
            <v>4101.2610843129805</v>
          </cell>
        </row>
        <row r="146">
          <cell r="B146" t="str">
            <v>CO2_SECTOR</v>
          </cell>
          <cell r="C146" t="str">
            <v>VAR_fout</v>
          </cell>
          <cell r="D146" t="str">
            <v>CO2_RES</v>
          </cell>
          <cell r="E146">
            <v>7175.6184269222176</v>
          </cell>
          <cell r="F146">
            <v>6469.4730826161731</v>
          </cell>
          <cell r="G146">
            <v>6420.9899964954202</v>
          </cell>
          <cell r="H146">
            <v>5048.7432045636942</v>
          </cell>
          <cell r="I146">
            <v>3869.7324957539604</v>
          </cell>
          <cell r="J146">
            <v>2556.2134089138235</v>
          </cell>
        </row>
        <row r="147">
          <cell r="B147" t="str">
            <v>CO2_SECTOR</v>
          </cell>
          <cell r="C147" t="str">
            <v>VAR_fout</v>
          </cell>
          <cell r="D147" t="str">
            <v>CO2_TRA</v>
          </cell>
          <cell r="E147">
            <v>14666.930942174393</v>
          </cell>
          <cell r="F147">
            <v>13971.044795217858</v>
          </cell>
          <cell r="G147">
            <v>12522.895882689967</v>
          </cell>
          <cell r="H147">
            <v>9575.9847781545104</v>
          </cell>
          <cell r="I147">
            <v>6467.7597644927537</v>
          </cell>
          <cell r="J147">
            <v>5653.4754027203198</v>
          </cell>
        </row>
        <row r="148">
          <cell r="B148" t="str">
            <v>CO2_SECTOR</v>
          </cell>
          <cell r="C148" t="str">
            <v>VAR_fout</v>
          </cell>
          <cell r="D148" t="str">
            <v>CO2_ELC</v>
          </cell>
          <cell r="E148">
            <v>2604.5366315457823</v>
          </cell>
          <cell r="F148">
            <v>2433.4900263301874</v>
          </cell>
          <cell r="G148">
            <v>2328.4747845616926</v>
          </cell>
          <cell r="H148">
            <v>2413.3476728797682</v>
          </cell>
          <cell r="I148">
            <v>2591.4163216584525</v>
          </cell>
          <cell r="J148">
            <v>3329.8485149592607</v>
          </cell>
        </row>
        <row r="149">
          <cell r="B149" t="str">
            <v>CO2_SECTOR</v>
          </cell>
          <cell r="C149" t="str">
            <v>VAR_fout</v>
          </cell>
          <cell r="D149" t="str">
            <v>CO2_SER</v>
          </cell>
          <cell r="E149">
            <v>3790.1086840687904</v>
          </cell>
          <cell r="F149">
            <v>3503.9110080398186</v>
          </cell>
          <cell r="G149">
            <v>3354.7968502658578</v>
          </cell>
          <cell r="H149">
            <v>2733.2910240425504</v>
          </cell>
          <cell r="I149">
            <v>1883.8469845361496</v>
          </cell>
          <cell r="J149">
            <v>1648.1252891159781</v>
          </cell>
        </row>
        <row r="150">
          <cell r="B150" t="str">
            <v>CO2_SECTOR</v>
          </cell>
          <cell r="C150" t="str">
            <v>VAR_fout</v>
          </cell>
          <cell r="D150" t="str">
            <v>CO2_ELCCCS</v>
          </cell>
          <cell r="E150">
            <v>2604.5366315457823</v>
          </cell>
          <cell r="F150">
            <v>2433.4900263301874</v>
          </cell>
          <cell r="G150">
            <v>2328.4747845616926</v>
          </cell>
          <cell r="H150">
            <v>2413.3476728797682</v>
          </cell>
          <cell r="I150">
            <v>2591.4163216584525</v>
          </cell>
          <cell r="J150">
            <v>3329.8485149592607</v>
          </cell>
        </row>
        <row r="151">
          <cell r="B151" t="str">
            <v>CO2_SECTOR</v>
          </cell>
          <cell r="C151" t="str">
            <v>VAR_fout</v>
          </cell>
          <cell r="D151" t="str">
            <v>CO2_INDCCS</v>
          </cell>
          <cell r="E151">
            <v>6492.0109235067457</v>
          </cell>
          <cell r="F151">
            <v>6089.3848645600201</v>
          </cell>
          <cell r="G151">
            <v>5880.7466319315536</v>
          </cell>
          <cell r="H151">
            <v>5298.5549296245745</v>
          </cell>
          <cell r="I151">
            <v>4650.8834665593968</v>
          </cell>
          <cell r="J151">
            <v>4101.2610843129805</v>
          </cell>
        </row>
        <row r="152">
          <cell r="B152" t="str">
            <v>CO2_SECTOR</v>
          </cell>
          <cell r="C152" t="str">
            <v>VAR_comnet</v>
          </cell>
          <cell r="D152" t="str">
            <v>-</v>
          </cell>
          <cell r="E152">
            <v>43825.753163270449</v>
          </cell>
          <cell r="F152">
            <v>40990.178667654254</v>
          </cell>
          <cell r="G152">
            <v>38717.125562437737</v>
          </cell>
          <cell r="H152">
            <v>32781.824211769424</v>
          </cell>
          <cell r="I152">
            <v>26705.938821218573</v>
          </cell>
          <cell r="J152">
            <v>24720.033299294631</v>
          </cell>
        </row>
        <row r="153">
          <cell r="B153" t="str">
            <v>CO2SC</v>
          </cell>
          <cell r="C153" t="str">
            <v>VAR_fout</v>
          </cell>
          <cell r="D153" t="str">
            <v>CO2S1</v>
          </cell>
          <cell r="E153">
            <v>6307.1990227535098</v>
          </cell>
          <cell r="F153">
            <v>6307.1990227535098</v>
          </cell>
          <cell r="G153">
            <v>6307.1990227535098</v>
          </cell>
          <cell r="H153">
            <v>6307.1990227535098</v>
          </cell>
          <cell r="I153">
            <v>6307.1990227535098</v>
          </cell>
          <cell r="J153">
            <v>6307.1990227535098</v>
          </cell>
        </row>
        <row r="154">
          <cell r="B154" t="str">
            <v>CO2P</v>
          </cell>
          <cell r="C154" t="str">
            <v>VAR_fout</v>
          </cell>
          <cell r="D154" t="str">
            <v>ITOT-PROCESSCO2</v>
          </cell>
          <cell r="E154">
            <v>2089.34680048464</v>
          </cell>
          <cell r="F154">
            <v>2111.0131698740802</v>
          </cell>
          <cell r="G154">
            <v>2102.26947106126</v>
          </cell>
          <cell r="H154">
            <v>2093.6570624126398</v>
          </cell>
          <cell r="I154">
            <v>2077.4128471263102</v>
          </cell>
          <cell r="J154">
            <v>2063.74855625499</v>
          </cell>
        </row>
        <row r="155">
          <cell r="B155" t="str">
            <v>CO2P</v>
          </cell>
          <cell r="C155" t="str">
            <v>VAR_comnet</v>
          </cell>
          <cell r="D155" t="str">
            <v>-</v>
          </cell>
          <cell r="E155">
            <v>2089.34680048464</v>
          </cell>
          <cell r="F155">
            <v>2111.0131698740802</v>
          </cell>
          <cell r="G155">
            <v>2102.26947106126</v>
          </cell>
          <cell r="H155">
            <v>2093.6570624126398</v>
          </cell>
          <cell r="I155">
            <v>2077.4128471263102</v>
          </cell>
          <cell r="J155">
            <v>2063.74855625499</v>
          </cell>
        </row>
        <row r="156">
          <cell r="B156" t="str">
            <v>CO2_E</v>
          </cell>
          <cell r="C156" t="str">
            <v>VAR_fout</v>
          </cell>
          <cell r="D156" t="str">
            <v>ENGA-CCS</v>
          </cell>
          <cell r="I156">
            <v>9.6356062918477401E-3</v>
          </cell>
          <cell r="J156">
            <v>5.7178805200717997E-3</v>
          </cell>
        </row>
        <row r="157">
          <cell r="B157" t="str">
            <v>CO2_E</v>
          </cell>
          <cell r="C157" t="str">
            <v>VAR_fout</v>
          </cell>
          <cell r="D157" t="str">
            <v>HPLNGA</v>
          </cell>
          <cell r="E157">
            <v>114.38451018897899</v>
          </cell>
          <cell r="F157">
            <v>180.94819954544701</v>
          </cell>
          <cell r="G157">
            <v>61.854268848624201</v>
          </cell>
          <cell r="H157">
            <v>202.46053851980099</v>
          </cell>
          <cell r="I157">
            <v>181.204100104774</v>
          </cell>
          <cell r="J157">
            <v>0.54471883274325705</v>
          </cell>
        </row>
        <row r="158">
          <cell r="B158" t="str">
            <v>CO2_E</v>
          </cell>
          <cell r="C158" t="str">
            <v>VAR_fout</v>
          </cell>
          <cell r="D158" t="str">
            <v>CHPWST</v>
          </cell>
          <cell r="E158">
            <v>2843.2582428272099</v>
          </cell>
          <cell r="F158">
            <v>2574.9235021053</v>
          </cell>
          <cell r="G158">
            <v>2613.3481049007401</v>
          </cell>
          <cell r="H158">
            <v>2556.3793668958301</v>
          </cell>
          <cell r="I158">
            <v>2541.4893737051402</v>
          </cell>
          <cell r="J158">
            <v>2549.2476033042099</v>
          </cell>
        </row>
        <row r="159">
          <cell r="B159" t="str">
            <v>CO2_E</v>
          </cell>
          <cell r="C159" t="str">
            <v>VAR_fout</v>
          </cell>
          <cell r="D159" t="str">
            <v>CHPNGA</v>
          </cell>
          <cell r="E159">
            <v>207.53777685943999</v>
          </cell>
          <cell r="F159">
            <v>0.13037777472374401</v>
          </cell>
          <cell r="G159">
            <v>0.64935038196442396</v>
          </cell>
          <cell r="H159">
            <v>0.71146254444250601</v>
          </cell>
          <cell r="I159">
            <v>107.268767712505</v>
          </cell>
          <cell r="J159">
            <v>211.91792257661101</v>
          </cell>
        </row>
        <row r="160">
          <cell r="B160" t="str">
            <v>CO2_E</v>
          </cell>
          <cell r="C160" t="str">
            <v>VAR_fout</v>
          </cell>
          <cell r="D160" t="str">
            <v>EWSTINC</v>
          </cell>
          <cell r="E160">
            <v>1689.2933390093799</v>
          </cell>
          <cell r="F160">
            <v>1895.8840437217</v>
          </cell>
          <cell r="G160">
            <v>1924.2147326101699</v>
          </cell>
          <cell r="H160">
            <v>1920.6437457776799</v>
          </cell>
          <cell r="I160">
            <v>1990.7095057055201</v>
          </cell>
          <cell r="J160">
            <v>2085.5327676563002</v>
          </cell>
        </row>
        <row r="161">
          <cell r="B161" t="str">
            <v>CO2_E</v>
          </cell>
          <cell r="C161" t="str">
            <v>VAR_fout</v>
          </cell>
          <cell r="D161" t="str">
            <v>ENGA-GTCC</v>
          </cell>
          <cell r="I161">
            <v>4.2450901462321502</v>
          </cell>
          <cell r="J161">
            <v>528.146050520279</v>
          </cell>
        </row>
        <row r="162">
          <cell r="B162" t="str">
            <v>CO2_E</v>
          </cell>
          <cell r="C162" t="str">
            <v>VAR_fout</v>
          </cell>
          <cell r="D162" t="str">
            <v>HPLOIL</v>
          </cell>
          <cell r="E162">
            <v>15.878487800842199</v>
          </cell>
          <cell r="F162">
            <v>16.026179531143701</v>
          </cell>
          <cell r="G162">
            <v>0.10172066647902001</v>
          </cell>
          <cell r="H162">
            <v>4.5831571525469302E-2</v>
          </cell>
          <cell r="I162">
            <v>2.1675653250072199E-2</v>
          </cell>
          <cell r="J162">
            <v>1.5698101902622E-2</v>
          </cell>
        </row>
        <row r="163">
          <cell r="B163" t="str">
            <v>CO2_E</v>
          </cell>
          <cell r="C163" t="str">
            <v>VAR_fout</v>
          </cell>
          <cell r="D163" t="str">
            <v>CHPGFC</v>
          </cell>
          <cell r="I163">
            <v>58.605805993927198</v>
          </cell>
          <cell r="J163">
            <v>296.64581733054303</v>
          </cell>
        </row>
        <row r="164">
          <cell r="B164" t="str">
            <v>CO2_E</v>
          </cell>
          <cell r="C164" t="str">
            <v>VAR_fout</v>
          </cell>
          <cell r="D164" t="str">
            <v>EOIL-ENG</v>
          </cell>
          <cell r="E164">
            <v>8.8483772923038604</v>
          </cell>
          <cell r="F164">
            <v>5.3308987687660403E-2</v>
          </cell>
          <cell r="G164">
            <v>0.75939210773959598</v>
          </cell>
          <cell r="H164">
            <v>0.12956526393178999</v>
          </cell>
          <cell r="I164">
            <v>0.36039919948586502</v>
          </cell>
          <cell r="J164">
            <v>0.45290203891501102</v>
          </cell>
        </row>
        <row r="165">
          <cell r="B165" t="str">
            <v>CO2_E</v>
          </cell>
          <cell r="C165" t="str">
            <v>VAR_fout</v>
          </cell>
          <cell r="D165" t="str">
            <v>ENGA-GTOC</v>
          </cell>
          <cell r="I165">
            <v>1.4573580187292201</v>
          </cell>
          <cell r="J165">
            <v>0.54884887585943898</v>
          </cell>
        </row>
        <row r="166">
          <cell r="B166" t="str">
            <v>CO2_E</v>
          </cell>
          <cell r="C166" t="str">
            <v>VAR_fout</v>
          </cell>
          <cell r="D166" t="str">
            <v>CHPOIL</v>
          </cell>
          <cell r="E166">
            <v>1.61004269558757</v>
          </cell>
          <cell r="F166">
            <v>8.0269223389194302E-2</v>
          </cell>
          <cell r="G166">
            <v>0.71177164455752295</v>
          </cell>
          <cell r="H166">
            <v>0.203065147311941</v>
          </cell>
          <cell r="I166">
            <v>0.38068813666609203</v>
          </cell>
          <cell r="J166">
            <v>0.227998723344741</v>
          </cell>
        </row>
        <row r="167">
          <cell r="B167" t="str">
            <v>CO2_E</v>
          </cell>
          <cell r="C167" t="str">
            <v>VAR_comnet</v>
          </cell>
          <cell r="D167" t="str">
            <v>-</v>
          </cell>
          <cell r="E167">
            <v>4880.8107766737403</v>
          </cell>
          <cell r="F167">
            <v>4668.04588088939</v>
          </cell>
          <cell r="G167">
            <v>4601.6393411602703</v>
          </cell>
          <cell r="H167">
            <v>4680.5735757205202</v>
          </cell>
          <cell r="I167">
            <v>4885.7523999825198</v>
          </cell>
          <cell r="J167">
            <v>5673.2860458412297</v>
          </cell>
        </row>
        <row r="168">
          <cell r="B168" t="str">
            <v>CO2_I</v>
          </cell>
          <cell r="C168" t="str">
            <v>VAR_fout</v>
          </cell>
          <cell r="D168" t="str">
            <v>ITOT-CHPNGA</v>
          </cell>
          <cell r="E168">
            <v>108.35299291924601</v>
          </cell>
          <cell r="F168">
            <v>14.494428805860601</v>
          </cell>
          <cell r="G168">
            <v>10.4194003069563</v>
          </cell>
          <cell r="H168">
            <v>65.007015848807001</v>
          </cell>
          <cell r="I168">
            <v>9.3570223929895207</v>
          </cell>
          <cell r="J168">
            <v>2.0253866573327501</v>
          </cell>
        </row>
        <row r="169">
          <cell r="B169" t="str">
            <v>CO2_I</v>
          </cell>
          <cell r="C169" t="str">
            <v>VAR_fout</v>
          </cell>
          <cell r="D169" t="str">
            <v>ITOT-SWHNGABR</v>
          </cell>
          <cell r="E169">
            <v>2005.15338366336</v>
          </cell>
          <cell r="F169">
            <v>1680.1333180839799</v>
          </cell>
          <cell r="G169">
            <v>1890.28489836993</v>
          </cell>
          <cell r="H169">
            <v>1746.6231223596401</v>
          </cell>
          <cell r="I169">
            <v>1560.1168774376399</v>
          </cell>
          <cell r="J169">
            <v>1187.00456238931</v>
          </cell>
        </row>
        <row r="170">
          <cell r="B170" t="str">
            <v>CO2_I</v>
          </cell>
          <cell r="C170" t="str">
            <v>VAR_fout</v>
          </cell>
          <cell r="D170" t="str">
            <v>ITOT-SWHLFOBR</v>
          </cell>
          <cell r="E170">
            <v>655.77119503936797</v>
          </cell>
          <cell r="F170">
            <v>597.35695695206698</v>
          </cell>
          <cell r="G170">
            <v>587.76611591236497</v>
          </cell>
          <cell r="H170">
            <v>478.58861363330101</v>
          </cell>
          <cell r="I170">
            <v>240.708610039907</v>
          </cell>
          <cell r="J170">
            <v>50.104086986843598</v>
          </cell>
        </row>
        <row r="171">
          <cell r="B171" t="str">
            <v>CO2_I</v>
          </cell>
          <cell r="C171" t="str">
            <v>VAR_fout</v>
          </cell>
          <cell r="D171" t="str">
            <v>ITOT-CHPNGACCS</v>
          </cell>
          <cell r="I171">
            <v>8.7851535280569996E-3</v>
          </cell>
          <cell r="J171">
            <v>5.2145782319157497E-3</v>
          </cell>
        </row>
        <row r="172">
          <cell r="B172" t="str">
            <v>CO2_I</v>
          </cell>
          <cell r="C172" t="str">
            <v>VAR_fout</v>
          </cell>
          <cell r="D172" t="str">
            <v>ITOT-CHPGFC</v>
          </cell>
          <cell r="H172">
            <v>6.3185994123097902E-2</v>
          </cell>
          <cell r="I172">
            <v>0.30973493817429998</v>
          </cell>
          <cell r="J172">
            <v>0.24371400236316701</v>
          </cell>
        </row>
        <row r="173">
          <cell r="B173" t="str">
            <v>CO2_I</v>
          </cell>
          <cell r="C173" t="str">
            <v>VAR_fout</v>
          </cell>
          <cell r="D173" t="str">
            <v>ITOT-SWHCOABR</v>
          </cell>
          <cell r="E173">
            <v>330.01387342027198</v>
          </cell>
          <cell r="F173">
            <v>321.17962465988097</v>
          </cell>
          <cell r="G173">
            <v>299.08601325874901</v>
          </cell>
          <cell r="H173">
            <v>5.9657265970291203E-2</v>
          </cell>
          <cell r="I173">
            <v>5.8666808787038498E-2</v>
          </cell>
          <cell r="J173">
            <v>3.2253686457066097E-2</v>
          </cell>
        </row>
        <row r="174">
          <cell r="B174" t="str">
            <v>CO2_I</v>
          </cell>
          <cell r="C174" t="str">
            <v>VAR_fout</v>
          </cell>
          <cell r="D174" t="str">
            <v>ITOT-CHPOIL</v>
          </cell>
          <cell r="E174">
            <v>21.7956172497152</v>
          </cell>
          <cell r="F174">
            <v>51.208476853625598</v>
          </cell>
          <cell r="G174">
            <v>0.91793986360291702</v>
          </cell>
          <cell r="H174">
            <v>47.796828435177801</v>
          </cell>
          <cell r="I174">
            <v>5.3200788044651199</v>
          </cell>
          <cell r="J174">
            <v>47.9167865742385</v>
          </cell>
        </row>
        <row r="175">
          <cell r="B175" t="str">
            <v>CO2_I</v>
          </cell>
          <cell r="C175" t="str">
            <v>VAR_fout</v>
          </cell>
          <cell r="D175" t="str">
            <v>ITOT-SWHWSTBR</v>
          </cell>
          <cell r="E175">
            <v>723.66044522680602</v>
          </cell>
          <cell r="F175">
            <v>749.84156412191601</v>
          </cell>
          <cell r="G175">
            <v>520.45623707628397</v>
          </cell>
          <cell r="H175">
            <v>514.64167029723399</v>
          </cell>
          <cell r="I175">
            <v>506.25769316712098</v>
          </cell>
          <cell r="J175">
            <v>501.125530760461</v>
          </cell>
        </row>
        <row r="176">
          <cell r="B176" t="str">
            <v>CO2_I</v>
          </cell>
          <cell r="C176" t="str">
            <v>VAR_fout</v>
          </cell>
          <cell r="D176" t="str">
            <v>ITOT-SWHNGAHP</v>
          </cell>
          <cell r="G176">
            <v>0.26412039683208599</v>
          </cell>
          <cell r="H176">
            <v>0.200904284834728</v>
          </cell>
          <cell r="I176">
            <v>0.80388196294516001</v>
          </cell>
          <cell r="J176">
            <v>7.2759245432025397</v>
          </cell>
        </row>
        <row r="177">
          <cell r="B177" t="str">
            <v>CO2_I</v>
          </cell>
          <cell r="C177" t="str">
            <v>VAR_fout</v>
          </cell>
          <cell r="D177" t="str">
            <v>ITOT-CHPWST</v>
          </cell>
          <cell r="E177">
            <v>344.47235006031099</v>
          </cell>
          <cell r="F177">
            <v>344.64632694146297</v>
          </cell>
          <cell r="G177">
            <v>504.19937916370299</v>
          </cell>
          <cell r="H177">
            <v>498.57060974890697</v>
          </cell>
          <cell r="I177">
            <v>490.45019416929</v>
          </cell>
          <cell r="J177">
            <v>485.47365376946402</v>
          </cell>
        </row>
        <row r="178">
          <cell r="B178" t="str">
            <v>CO2_I</v>
          </cell>
          <cell r="C178" t="str">
            <v>VAR_fout</v>
          </cell>
          <cell r="D178" t="str">
            <v>ITOT-SWHHFOBR</v>
          </cell>
          <cell r="E178">
            <v>210.21149786551399</v>
          </cell>
          <cell r="F178">
            <v>199.70347528450901</v>
          </cell>
          <cell r="G178">
            <v>0.24817248134558201</v>
          </cell>
          <cell r="H178">
            <v>4.5084246646223798E-2</v>
          </cell>
          <cell r="I178">
            <v>5.3411060242653997E-2</v>
          </cell>
        </row>
        <row r="179">
          <cell r="B179" t="str">
            <v>CO2_I</v>
          </cell>
          <cell r="C179" t="str">
            <v>VAR_comnet</v>
          </cell>
          <cell r="D179" t="str">
            <v>-</v>
          </cell>
          <cell r="E179">
            <v>4399.4313554445898</v>
          </cell>
          <cell r="F179">
            <v>3958.56417170331</v>
          </cell>
          <cell r="G179">
            <v>3813.6422768297598</v>
          </cell>
          <cell r="H179">
            <v>3351.5966921146401</v>
          </cell>
          <cell r="I179">
            <v>2813.4449559350901</v>
          </cell>
          <cell r="J179">
            <v>2281.2071139478999</v>
          </cell>
        </row>
        <row r="180">
          <cell r="B180"/>
          <cell r="C180"/>
          <cell r="D180"/>
        </row>
        <row r="181">
          <cell r="B181"/>
          <cell r="C181"/>
          <cell r="D181"/>
        </row>
        <row r="182">
          <cell r="B182"/>
          <cell r="C182"/>
          <cell r="D182"/>
        </row>
        <row r="183">
          <cell r="B183"/>
          <cell r="C183"/>
          <cell r="D183"/>
        </row>
        <row r="184">
          <cell r="B184"/>
          <cell r="C184"/>
          <cell r="D184"/>
        </row>
        <row r="185">
          <cell r="B185"/>
          <cell r="C185"/>
          <cell r="D185"/>
        </row>
        <row r="186">
          <cell r="B186"/>
          <cell r="C186"/>
          <cell r="D186"/>
        </row>
        <row r="187">
          <cell r="B187"/>
          <cell r="C187"/>
          <cell r="D187"/>
        </row>
        <row r="188">
          <cell r="B188"/>
          <cell r="C188"/>
          <cell r="D188"/>
        </row>
        <row r="189">
          <cell r="B189"/>
          <cell r="C189"/>
          <cell r="D189"/>
        </row>
        <row r="190">
          <cell r="B190"/>
          <cell r="C190"/>
          <cell r="D190"/>
        </row>
        <row r="191">
          <cell r="B191"/>
          <cell r="C191"/>
          <cell r="D191"/>
        </row>
        <row r="192">
          <cell r="B192"/>
          <cell r="C192"/>
          <cell r="D192"/>
        </row>
        <row r="193">
          <cell r="B193"/>
          <cell r="C193"/>
          <cell r="D193"/>
        </row>
        <row r="194">
          <cell r="B194"/>
          <cell r="C194"/>
          <cell r="D194"/>
        </row>
        <row r="195">
          <cell r="B195"/>
          <cell r="C195"/>
          <cell r="D195"/>
        </row>
        <row r="196">
          <cell r="B196"/>
          <cell r="C196"/>
          <cell r="D196"/>
        </row>
        <row r="197">
          <cell r="B197"/>
          <cell r="C197"/>
          <cell r="D197"/>
        </row>
        <row r="198">
          <cell r="B198"/>
          <cell r="C198"/>
          <cell r="D198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2040</v>
          </cell>
          <cell r="J3" t="str">
            <v>2050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3.6219162326104798E-7</v>
          </cell>
          <cell r="I4">
            <v>1.01717362041857E-6</v>
          </cell>
          <cell r="J4">
            <v>8.1851626451671095E-5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I5">
            <v>1.7523301444566399E-5</v>
          </cell>
          <cell r="J5">
            <v>1.3547663292063101E-7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2.1457839430086098E-6</v>
          </cell>
          <cell r="I6">
            <v>3.9066313850950098E-6</v>
          </cell>
          <cell r="J6">
            <v>1.1835159523588599E-2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3.5885686528982099E-7</v>
          </cell>
          <cell r="I7">
            <v>1.00202544333241E-6</v>
          </cell>
          <cell r="J7">
            <v>7.6760348234437998E-7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1.7567917465963601E-6</v>
          </cell>
          <cell r="F8">
            <v>4.0248368741912998E-7</v>
          </cell>
          <cell r="G8">
            <v>4.9834910326108699E-7</v>
          </cell>
          <cell r="H8">
            <v>7.4638150248676695E-7</v>
          </cell>
          <cell r="I8">
            <v>3.5926428643018899E-6</v>
          </cell>
          <cell r="J8">
            <v>0.12624199373561101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I9">
            <v>5.9405512789233097E-4</v>
          </cell>
          <cell r="J9">
            <v>1.8389788671702401E-6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4.0981962484346402E-3</v>
          </cell>
          <cell r="F10">
            <v>2.2983918067510999E-2</v>
          </cell>
          <cell r="G10">
            <v>6.3658704703104502E-7</v>
          </cell>
          <cell r="H10">
            <v>7.2850472037625305E-2</v>
          </cell>
          <cell r="I10">
            <v>2.5512680171725199E-2</v>
          </cell>
          <cell r="J10">
            <v>0.18993646847950901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3.1509602817620001E-7</v>
          </cell>
          <cell r="F11">
            <v>3.3350263218938199E-7</v>
          </cell>
          <cell r="G11">
            <v>4.0001779719628698E-7</v>
          </cell>
          <cell r="H11">
            <v>4.8986110756795604E-7</v>
          </cell>
          <cell r="I11">
            <v>1.5934804276771401E-6</v>
          </cell>
          <cell r="J11">
            <v>2.8167548050731401E-4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1.4370127482521601E-2</v>
          </cell>
          <cell r="F12">
            <v>8.2252814079464304E-2</v>
          </cell>
          <cell r="G12">
            <v>2.5244794833831902E-7</v>
          </cell>
          <cell r="H12">
            <v>2.8967210394944699E-7</v>
          </cell>
          <cell r="I12">
            <v>5.0749866763124998E-2</v>
          </cell>
          <cell r="J12">
            <v>4.8773686917135399E-2</v>
          </cell>
        </row>
        <row r="13">
          <cell r="A13" t="str">
            <v>-</v>
          </cell>
          <cell r="B13" t="str">
            <v>VAR_ncap</v>
          </cell>
          <cell r="C13" t="str">
            <v>SUP_WODH2</v>
          </cell>
          <cell r="J13">
            <v>2.7388028179794201E-5</v>
          </cell>
        </row>
        <row r="14">
          <cell r="A14" t="str">
            <v>-</v>
          </cell>
          <cell r="B14" t="str">
            <v>VAR_ncap</v>
          </cell>
          <cell r="C14" t="str">
            <v>D-TNGA</v>
          </cell>
          <cell r="E14">
            <v>3.17137223978272E-7</v>
          </cell>
          <cell r="F14">
            <v>8.4871737051249404E-8</v>
          </cell>
          <cell r="G14">
            <v>9.8844255002465296E-8</v>
          </cell>
          <cell r="H14">
            <v>1.1579994201379699E-7</v>
          </cell>
          <cell r="I14">
            <v>2.2951469704769001E-7</v>
          </cell>
          <cell r="J14">
            <v>3.8008154943136699E-7</v>
          </cell>
        </row>
        <row r="15">
          <cell r="A15" t="str">
            <v>-</v>
          </cell>
          <cell r="B15" t="str">
            <v>VAR_ncap</v>
          </cell>
          <cell r="C15" t="str">
            <v>SUP_ELCH2_D</v>
          </cell>
          <cell r="H15">
            <v>5.7586629605368401E-6</v>
          </cell>
          <cell r="I15">
            <v>1.4247160977683401E-4</v>
          </cell>
          <cell r="J15">
            <v>4.57391640454942E-5</v>
          </cell>
        </row>
        <row r="16">
          <cell r="A16" t="str">
            <v>-</v>
          </cell>
          <cell r="B16" t="str">
            <v>VAR_ncap</v>
          </cell>
          <cell r="C16" t="str">
            <v>SUP_H2GSL</v>
          </cell>
          <cell r="H16">
            <v>4.6197214996878802E-7</v>
          </cell>
          <cell r="I16">
            <v>1.02323015450256E-6</v>
          </cell>
          <cell r="J16">
            <v>7.6209750446344701E-7</v>
          </cell>
        </row>
        <row r="17">
          <cell r="A17" t="str">
            <v>-</v>
          </cell>
          <cell r="B17" t="str">
            <v>VAR_ncap</v>
          </cell>
          <cell r="C17" t="str">
            <v>ESOL-PV_E</v>
          </cell>
          <cell r="H17">
            <v>7.2242153342626502E-7</v>
          </cell>
          <cell r="I17">
            <v>4.00620679921018E-4</v>
          </cell>
          <cell r="J17">
            <v>8.4917766043484993E-5</v>
          </cell>
        </row>
        <row r="18">
          <cell r="A18" t="str">
            <v>-</v>
          </cell>
          <cell r="B18" t="str">
            <v>VAR_ncap</v>
          </cell>
          <cell r="C18" t="str">
            <v>D-SNGA</v>
          </cell>
          <cell r="E18">
            <v>3.66956527794371E-7</v>
          </cell>
          <cell r="F18">
            <v>1.5097157842041799E-7</v>
          </cell>
          <cell r="G18">
            <v>2.04907489371709E-7</v>
          </cell>
          <cell r="H18">
            <v>2.3698665660556101E-7</v>
          </cell>
          <cell r="I18">
            <v>8.4361583952706702E-7</v>
          </cell>
          <cell r="J18">
            <v>1.48844255716045E-2</v>
          </cell>
        </row>
        <row r="19">
          <cell r="A19" t="str">
            <v>-</v>
          </cell>
          <cell r="B19" t="str">
            <v>VAR_ncap</v>
          </cell>
          <cell r="C19" t="str">
            <v>SUP_MNRBIO</v>
          </cell>
          <cell r="E19">
            <v>4.9851847967244303E-2</v>
          </cell>
          <cell r="F19">
            <v>8.8820966422982997E-2</v>
          </cell>
          <cell r="G19">
            <v>2.3724120390686498E-2</v>
          </cell>
          <cell r="H19">
            <v>4.7478308039403299E-6</v>
          </cell>
          <cell r="I19">
            <v>0.102148400613011</v>
          </cell>
          <cell r="J19">
            <v>0.14145283068094999</v>
          </cell>
        </row>
        <row r="20">
          <cell r="A20" t="str">
            <v>-</v>
          </cell>
          <cell r="B20" t="str">
            <v>VAR_ncap</v>
          </cell>
          <cell r="C20" t="str">
            <v>D-RNGA</v>
          </cell>
          <cell r="E20">
            <v>3.3438581069403102E-7</v>
          </cell>
          <cell r="F20">
            <v>1.3855642926773701E-7</v>
          </cell>
          <cell r="G20">
            <v>1.6974201300314999E-7</v>
          </cell>
          <cell r="H20">
            <v>1.5139712381201E-7</v>
          </cell>
          <cell r="I20">
            <v>4.5531343305229701E-7</v>
          </cell>
          <cell r="J20">
            <v>0.40134918726592</v>
          </cell>
        </row>
        <row r="21">
          <cell r="A21" t="str">
            <v>-</v>
          </cell>
          <cell r="B21" t="str">
            <v>VAR_ncap</v>
          </cell>
          <cell r="C21" t="str">
            <v>SUP_WODBIO</v>
          </cell>
          <cell r="E21">
            <v>6.0828985177905802E-7</v>
          </cell>
          <cell r="F21">
            <v>2.2945682387667898E-5</v>
          </cell>
          <cell r="G21">
            <v>1.52452424388957E-6</v>
          </cell>
          <cell r="H21">
            <v>4.3057937565401499E-7</v>
          </cell>
          <cell r="I21">
            <v>5.7029072638246703E-6</v>
          </cell>
          <cell r="J21">
            <v>6.03149993122853E-6</v>
          </cell>
        </row>
        <row r="22">
          <cell r="A22" t="str">
            <v>-</v>
          </cell>
          <cell r="B22" t="str">
            <v>VAR_ncap</v>
          </cell>
          <cell r="C22" t="str">
            <v>SUP_ELCH2_SOEC</v>
          </cell>
          <cell r="I22">
            <v>2.21456898396871E-4</v>
          </cell>
          <cell r="J22">
            <v>1.29519615409537E-4</v>
          </cell>
        </row>
        <row r="23">
          <cell r="A23" t="str">
            <v>-</v>
          </cell>
          <cell r="B23" t="str">
            <v>VAR_ncap</v>
          </cell>
          <cell r="C23" t="str">
            <v>SUP_ELCH2</v>
          </cell>
          <cell r="E23">
            <v>2.6845973479292098E-4</v>
          </cell>
          <cell r="F23">
            <v>6.9728571601112898E-5</v>
          </cell>
          <cell r="G23">
            <v>1.30732020203463E-4</v>
          </cell>
          <cell r="H23">
            <v>7.3542625169986003E-4</v>
          </cell>
          <cell r="I23">
            <v>1.6028591582040098E-2</v>
          </cell>
          <cell r="J23">
            <v>3.4017787406694301E-3</v>
          </cell>
        </row>
        <row r="24">
          <cell r="A24" t="str">
            <v>-</v>
          </cell>
          <cell r="B24" t="str">
            <v>VAR_ncap</v>
          </cell>
          <cell r="C24" t="str">
            <v>CT_CWODBDS</v>
          </cell>
          <cell r="E24">
            <v>2.36957239707213E-7</v>
          </cell>
          <cell r="F24">
            <v>1.8245500523864599E-7</v>
          </cell>
          <cell r="G24">
            <v>4.1527381434514502E-7</v>
          </cell>
          <cell r="H24">
            <v>1.7457884129972599E-7</v>
          </cell>
          <cell r="I24">
            <v>3.7561707074406001E-6</v>
          </cell>
          <cell r="J24">
            <v>6.4514316828560804E-7</v>
          </cell>
        </row>
        <row r="25">
          <cell r="A25" t="str">
            <v>-</v>
          </cell>
          <cell r="B25" t="str">
            <v>VAR_ncap</v>
          </cell>
          <cell r="C25" t="str">
            <v>CT_CWODPLT</v>
          </cell>
          <cell r="E25">
            <v>0.15311796836099001</v>
          </cell>
          <cell r="F25">
            <v>5.4497251137904101E-2</v>
          </cell>
          <cell r="G25">
            <v>8.3523029986854999E-7</v>
          </cell>
          <cell r="H25">
            <v>9.2559546786656505E-7</v>
          </cell>
          <cell r="I25">
            <v>0.131607857246995</v>
          </cell>
          <cell r="J25">
            <v>0.113194951650953</v>
          </cell>
        </row>
        <row r="26">
          <cell r="A26" t="str">
            <v>-</v>
          </cell>
          <cell r="B26" t="str">
            <v>VAR_ncap</v>
          </cell>
          <cell r="C26" t="str">
            <v>D-DH2</v>
          </cell>
          <cell r="H26">
            <v>3.2740771332749999E-5</v>
          </cell>
          <cell r="I26">
            <v>1.9086199716233701E-4</v>
          </cell>
          <cell r="J26">
            <v>7.6013390606173398E-6</v>
          </cell>
        </row>
        <row r="27">
          <cell r="A27" t="str">
            <v>-</v>
          </cell>
          <cell r="B27" t="str">
            <v>VAR_ncap</v>
          </cell>
          <cell r="C27" t="str">
            <v>CT_CWODETH</v>
          </cell>
          <cell r="E27">
            <v>5.1129807011162402E-3</v>
          </cell>
          <cell r="F27">
            <v>4.2947873288701201E-7</v>
          </cell>
          <cell r="G27">
            <v>5.6588332442044395E-4</v>
          </cell>
          <cell r="H27">
            <v>1.3877035965271001E-7</v>
          </cell>
          <cell r="I27">
            <v>1.04884520129853E-6</v>
          </cell>
          <cell r="J27">
            <v>1.03437787340563E-5</v>
          </cell>
        </row>
        <row r="28">
          <cell r="A28" t="str">
            <v>-</v>
          </cell>
          <cell r="B28" t="str">
            <v>VAR_ncap</v>
          </cell>
          <cell r="C28" t="str">
            <v>D-INGA</v>
          </cell>
          <cell r="E28">
            <v>8.04505053450423E-7</v>
          </cell>
          <cell r="F28">
            <v>3.7094133772627701E-7</v>
          </cell>
          <cell r="G28">
            <v>4.6653414483232102E-7</v>
          </cell>
          <cell r="H28">
            <v>6.5808292464419396E-7</v>
          </cell>
          <cell r="I28">
            <v>1.3841552841750099E-6</v>
          </cell>
          <cell r="J28">
            <v>2.5606579562270898E-6</v>
          </cell>
        </row>
        <row r="29">
          <cell r="A29" t="str">
            <v>-</v>
          </cell>
          <cell r="B29" t="str">
            <v>VAR_ncap</v>
          </cell>
          <cell r="C29" t="str">
            <v>SUP_H2DSL</v>
          </cell>
          <cell r="H29">
            <v>4.9050075262296497E-7</v>
          </cell>
          <cell r="I29">
            <v>1.1723185558071901E-6</v>
          </cell>
          <cell r="J29">
            <v>9.3349528690303801E-7</v>
          </cell>
        </row>
        <row r="30">
          <cell r="A30" t="str">
            <v>-</v>
          </cell>
          <cell r="B30" t="str">
            <v>VAR_cap</v>
          </cell>
          <cell r="C30" t="str">
            <v>SUP_NGAH2</v>
          </cell>
          <cell r="H30">
            <v>3.6219162326104798E-7</v>
          </cell>
          <cell r="I30">
            <v>1.2347878139790398E-6</v>
          </cell>
          <cell r="J30">
            <v>8.3250062980448538E-5</v>
          </cell>
        </row>
        <row r="31">
          <cell r="A31" t="str">
            <v>-</v>
          </cell>
          <cell r="B31" t="str">
            <v>VAR_cap</v>
          </cell>
          <cell r="C31" t="str">
            <v>SUP_WSTHTGBIO</v>
          </cell>
          <cell r="I31">
            <v>1.7523301444566399E-5</v>
          </cell>
          <cell r="J31">
            <v>1.7599188832914846E-5</v>
          </cell>
        </row>
        <row r="32">
          <cell r="A32" t="str">
            <v>-</v>
          </cell>
          <cell r="B32" t="str">
            <v>VAR_cap</v>
          </cell>
          <cell r="C32" t="str">
            <v>STG-H2</v>
          </cell>
          <cell r="H32">
            <v>2.1457839430086098E-6</v>
          </cell>
          <cell r="I32">
            <v>9.864937421450444E-6</v>
          </cell>
          <cell r="J32">
            <v>1.1842410115049372E-2</v>
          </cell>
        </row>
        <row r="33">
          <cell r="A33" t="str">
            <v>-</v>
          </cell>
          <cell r="B33" t="str">
            <v>VAR_cap</v>
          </cell>
          <cell r="C33" t="str">
            <v>SUP_H2NGA</v>
          </cell>
          <cell r="H33">
            <v>3.5885686528982099E-7</v>
          </cell>
          <cell r="I33">
            <v>2.1905216453329599E-6</v>
          </cell>
          <cell r="J33">
            <v>1.5640615695649297E-6</v>
          </cell>
        </row>
        <row r="34">
          <cell r="A34" t="str">
            <v>-</v>
          </cell>
          <cell r="B34" t="str">
            <v>VAR_cap</v>
          </cell>
          <cell r="C34" t="str">
            <v>D-ENGA</v>
          </cell>
          <cell r="E34">
            <v>1.0275137513327266</v>
          </cell>
          <cell r="F34">
            <v>1.0275141538164141</v>
          </cell>
          <cell r="G34">
            <v>1.0275146521655174</v>
          </cell>
          <cell r="H34">
            <v>1.0275153985470198</v>
          </cell>
          <cell r="I34">
            <v>1.0275209509076515</v>
          </cell>
          <cell r="J34">
            <v>0.85092763141704197</v>
          </cell>
        </row>
        <row r="35">
          <cell r="A35" t="str">
            <v>-</v>
          </cell>
          <cell r="B35" t="str">
            <v>VAR_cap</v>
          </cell>
          <cell r="C35" t="str">
            <v>D-CHEAT</v>
          </cell>
          <cell r="I35">
            <v>5.9405512789233097E-4</v>
          </cell>
          <cell r="J35">
            <v>5.95894106759501E-4</v>
          </cell>
        </row>
        <row r="36">
          <cell r="A36" t="str">
            <v>-</v>
          </cell>
          <cell r="B36" t="str">
            <v>VAR_cap</v>
          </cell>
          <cell r="C36" t="str">
            <v>SUP_WSTBIO</v>
          </cell>
          <cell r="E36">
            <v>0.21266828890725623</v>
          </cell>
          <cell r="F36">
            <v>0.23565202024441026</v>
          </cell>
          <cell r="G36">
            <v>0.23564940385982105</v>
          </cell>
          <cell r="H36">
            <v>0.23491636996492285</v>
          </cell>
          <cell r="I36">
            <v>0.22856750319213043</v>
          </cell>
          <cell r="J36">
            <v>0.32750871525709846</v>
          </cell>
        </row>
        <row r="37">
          <cell r="A37" t="str">
            <v>-</v>
          </cell>
          <cell r="B37" t="str">
            <v>VAR_cap</v>
          </cell>
          <cell r="C37" t="str">
            <v>D-CNGA</v>
          </cell>
          <cell r="E37">
            <v>3.1509602817620001E-7</v>
          </cell>
          <cell r="F37">
            <v>6.4859866036558104E-7</v>
          </cell>
          <cell r="G37">
            <v>1.0486164575618701E-6</v>
          </cell>
          <cell r="H37">
            <v>1.5384775651298201E-6</v>
          </cell>
          <cell r="I37">
            <v>4.0424900137269202E-6</v>
          </cell>
          <cell r="J37">
            <v>2.8571797052104098E-4</v>
          </cell>
        </row>
        <row r="38">
          <cell r="A38" t="str">
            <v>-</v>
          </cell>
          <cell r="B38" t="str">
            <v>VAR_cap</v>
          </cell>
          <cell r="C38" t="str">
            <v>SUP_BIONGA</v>
          </cell>
          <cell r="E38">
            <v>4.2388060239471913E-2</v>
          </cell>
          <cell r="F38">
            <v>0.12464111474726376</v>
          </cell>
          <cell r="G38">
            <v>0.1037721081247924</v>
          </cell>
          <cell r="H38">
            <v>0.1037421003743367</v>
          </cell>
          <cell r="I38">
            <v>0.10366305560694482</v>
          </cell>
          <cell r="J38">
            <v>0.10369610683914489</v>
          </cell>
        </row>
        <row r="39">
          <cell r="A39" t="str">
            <v>-</v>
          </cell>
          <cell r="B39" t="str">
            <v>VAR_cap</v>
          </cell>
          <cell r="C39" t="str">
            <v>SUP_WODH2</v>
          </cell>
          <cell r="J39">
            <v>2.7388028179794201E-5</v>
          </cell>
        </row>
        <row r="40">
          <cell r="A40" t="str">
            <v>-</v>
          </cell>
          <cell r="B40" t="str">
            <v>VAR_cap</v>
          </cell>
          <cell r="C40" t="str">
            <v>D-TNGA</v>
          </cell>
          <cell r="E40">
            <v>0.95961801021886795</v>
          </cell>
          <cell r="F40">
            <v>0.95961809509060503</v>
          </cell>
          <cell r="G40">
            <v>0.95961819393486003</v>
          </cell>
          <cell r="H40">
            <v>0.95961830973480211</v>
          </cell>
          <cell r="I40">
            <v>0.95961871489095085</v>
          </cell>
          <cell r="J40">
            <v>0.4812547513264443</v>
          </cell>
        </row>
        <row r="41">
          <cell r="A41" t="str">
            <v>-</v>
          </cell>
          <cell r="B41" t="str">
            <v>VAR_cap</v>
          </cell>
          <cell r="C41" t="str">
            <v>SUP_ELCH2_D</v>
          </cell>
          <cell r="H41">
            <v>5.7586629605368401E-6</v>
          </cell>
          <cell r="I41">
            <v>1.6055322622099901E-4</v>
          </cell>
          <cell r="J41">
            <v>1.9952790580108501E-4</v>
          </cell>
        </row>
        <row r="42">
          <cell r="A42" t="str">
            <v>-</v>
          </cell>
          <cell r="B42" t="str">
            <v>VAR_cap</v>
          </cell>
          <cell r="C42" t="str">
            <v>SUP_H2GSL</v>
          </cell>
          <cell r="H42">
            <v>4.6197214996878802E-7</v>
          </cell>
          <cell r="I42">
            <v>1.15847293880126E-6</v>
          </cell>
          <cell r="J42">
            <v>6.6938879664342011E-7</v>
          </cell>
        </row>
        <row r="43">
          <cell r="A43" t="str">
            <v>-</v>
          </cell>
          <cell r="B43" t="str">
            <v>VAR_cap</v>
          </cell>
          <cell r="C43" t="str">
            <v>ESOL-PV_E</v>
          </cell>
          <cell r="H43">
            <v>7.2242153342626502E-7</v>
          </cell>
          <cell r="I43">
            <v>4.3789720672487103E-4</v>
          </cell>
          <cell r="J43">
            <v>5.2281497276835602E-4</v>
          </cell>
        </row>
        <row r="44">
          <cell r="A44" t="str">
            <v>-</v>
          </cell>
          <cell r="B44" t="str">
            <v>VAR_cap</v>
          </cell>
          <cell r="C44" t="str">
            <v>D-SNGA</v>
          </cell>
          <cell r="E44">
            <v>2.235052568581668</v>
          </cell>
          <cell r="F44">
            <v>2.2350527195532464</v>
          </cell>
          <cell r="G44">
            <v>2.2350529244607356</v>
          </cell>
          <cell r="H44">
            <v>2.2350531614473925</v>
          </cell>
          <cell r="I44">
            <v>2.2350545140601552</v>
          </cell>
          <cell r="J44">
            <v>1.1357772404954793</v>
          </cell>
        </row>
        <row r="45">
          <cell r="A45" t="str">
            <v>-</v>
          </cell>
          <cell r="B45" t="str">
            <v>VAR_cap</v>
          </cell>
          <cell r="C45" t="str">
            <v>SUP_MNRBIO</v>
          </cell>
          <cell r="E45">
            <v>4.9851847967244303E-2</v>
          </cell>
          <cell r="F45">
            <v>0.13867250554080596</v>
          </cell>
          <cell r="G45">
            <v>0.16239611604602791</v>
          </cell>
          <cell r="H45">
            <v>0.16239974273502805</v>
          </cell>
          <cell r="I45">
            <v>0.18937899850829926</v>
          </cell>
          <cell r="J45">
            <v>0.24360737989548581</v>
          </cell>
        </row>
        <row r="46">
          <cell r="A46" t="str">
            <v>-</v>
          </cell>
          <cell r="B46" t="str">
            <v>VAR_cap</v>
          </cell>
          <cell r="C46" t="str">
            <v>D-RNGA</v>
          </cell>
          <cell r="E46">
            <v>3.0972403417817307</v>
          </cell>
          <cell r="F46">
            <v>3.0972404803381601</v>
          </cell>
          <cell r="G46">
            <v>3.097240650080173</v>
          </cell>
          <cell r="H46">
            <v>3.0972408014772967</v>
          </cell>
          <cell r="I46">
            <v>3.0972416447098445</v>
          </cell>
          <cell r="J46">
            <v>1.954633072616065</v>
          </cell>
        </row>
        <row r="47">
          <cell r="A47" t="str">
            <v>-</v>
          </cell>
          <cell r="B47" t="str">
            <v>VAR_cap</v>
          </cell>
          <cell r="C47" t="str">
            <v>SUP_WODBIO</v>
          </cell>
          <cell r="E47">
            <v>6.0828985177905802E-7</v>
          </cell>
          <cell r="F47">
            <v>2.3482692451666376E-5</v>
          </cell>
          <cell r="G47">
            <v>2.4835402264032277E-5</v>
          </cell>
          <cell r="H47">
            <v>2.512468849879833E-5</v>
          </cell>
          <cell r="I47">
            <v>3.0548966621989902E-5</v>
          </cell>
          <cell r="J47">
            <v>2.1034518763131185E-5</v>
          </cell>
        </row>
        <row r="48">
          <cell r="A48" t="str">
            <v>-</v>
          </cell>
          <cell r="B48" t="str">
            <v>VAR_cap</v>
          </cell>
          <cell r="C48" t="str">
            <v>SUP_ELCH2_SOEC</v>
          </cell>
          <cell r="I48">
            <v>2.21456898396871E-4</v>
          </cell>
          <cell r="J48">
            <v>2.0522360406895098E-4</v>
          </cell>
        </row>
        <row r="49">
          <cell r="A49" t="str">
            <v>-</v>
          </cell>
          <cell r="B49" t="str">
            <v>VAR_cap</v>
          </cell>
          <cell r="C49" t="str">
            <v>SUP_ELCH2</v>
          </cell>
          <cell r="E49">
            <v>2.6845973479292098E-4</v>
          </cell>
          <cell r="F49">
            <v>3.3797878094351023E-4</v>
          </cell>
          <cell r="G49">
            <v>4.6839281676562923E-4</v>
          </cell>
          <cell r="H49">
            <v>1.2032626813355744E-3</v>
          </cell>
          <cell r="I49">
            <v>2.9865556690653848E-2</v>
          </cell>
          <cell r="J49">
            <v>2.9855236803864288E-2</v>
          </cell>
        </row>
        <row r="50">
          <cell r="A50" t="str">
            <v>-</v>
          </cell>
          <cell r="B50" t="str">
            <v>VAR_cap</v>
          </cell>
          <cell r="C50" t="str">
            <v>CT_CWODBDS</v>
          </cell>
          <cell r="E50">
            <v>6.2410980437956759E-2</v>
          </cell>
          <cell r="F50">
            <v>6.2410141094812931E-2</v>
          </cell>
          <cell r="G50">
            <v>6.2409901853999361E-2</v>
          </cell>
          <cell r="H50">
            <v>4.1633201604086845E-5</v>
          </cell>
          <cell r="I50">
            <v>2.0572936180705629E-5</v>
          </cell>
          <cell r="J50">
            <v>1.7325909946827575E-5</v>
          </cell>
        </row>
        <row r="51">
          <cell r="A51" t="str">
            <v>-</v>
          </cell>
          <cell r="B51" t="str">
            <v>VAR_cap</v>
          </cell>
          <cell r="C51" t="str">
            <v>CT_CWODPLT</v>
          </cell>
          <cell r="E51">
            <v>0.35541683922880474</v>
          </cell>
          <cell r="F51">
            <v>0.40991398648189598</v>
          </cell>
          <cell r="G51">
            <v>0.17907302661479202</v>
          </cell>
          <cell r="H51">
            <v>0.17906047091339</v>
          </cell>
          <cell r="I51">
            <v>0.20345341888305038</v>
          </cell>
          <cell r="J51">
            <v>0.24480736435313774</v>
          </cell>
        </row>
        <row r="52">
          <cell r="A52" t="str">
            <v>-</v>
          </cell>
          <cell r="B52" t="str">
            <v>VAR_cap</v>
          </cell>
          <cell r="C52" t="str">
            <v>D-DH2</v>
          </cell>
          <cell r="H52">
            <v>3.2740771332749999E-5</v>
          </cell>
          <cell r="I52">
            <v>2.6420295755738701E-4</v>
          </cell>
          <cell r="J52">
            <v>2.7180429661800501E-4</v>
          </cell>
        </row>
        <row r="53">
          <cell r="A53" t="str">
            <v>-</v>
          </cell>
          <cell r="B53" t="str">
            <v>VAR_cap</v>
          </cell>
          <cell r="C53" t="str">
            <v>CT_CWODETH</v>
          </cell>
          <cell r="E53">
            <v>7.1502824247022482E-3</v>
          </cell>
          <cell r="F53">
            <v>7.1505989517786283E-3</v>
          </cell>
          <cell r="G53">
            <v>7.7163885196934075E-3</v>
          </cell>
          <cell r="H53">
            <v>2.8056769704500051E-5</v>
          </cell>
          <cell r="I53">
            <v>2.5131503438689893E-5</v>
          </cell>
          <cell r="J53">
            <v>1.1626954277124457E-5</v>
          </cell>
        </row>
        <row r="54">
          <cell r="A54" t="str">
            <v>-</v>
          </cell>
          <cell r="B54" t="str">
            <v>VAR_cap</v>
          </cell>
          <cell r="C54" t="str">
            <v>D-INGA</v>
          </cell>
          <cell r="E54">
            <v>1.9844841747711535</v>
          </cell>
          <cell r="F54">
            <v>1.9844845457124911</v>
          </cell>
          <cell r="G54">
            <v>1.984485012246636</v>
          </cell>
          <cell r="H54">
            <v>1.9844856703295606</v>
          </cell>
          <cell r="I54">
            <v>1.9844880910597686</v>
          </cell>
          <cell r="J54">
            <v>1.0954667188975447</v>
          </cell>
        </row>
        <row r="55">
          <cell r="A55" t="str">
            <v>-</v>
          </cell>
          <cell r="B55" t="str">
            <v>VAR_cap</v>
          </cell>
          <cell r="C55" t="str">
            <v>SUP_H2DSL</v>
          </cell>
          <cell r="H55">
            <v>4.9050075262296497E-7</v>
          </cell>
          <cell r="I55">
            <v>1.3586945301921398E-6</v>
          </cell>
          <cell r="J55">
            <v>9.0895778156819029E-7</v>
          </cell>
        </row>
        <row r="56">
          <cell r="A56" t="str">
            <v>ELC35</v>
          </cell>
          <cell r="B56" t="str">
            <v>VAR_fout</v>
          </cell>
          <cell r="C56" t="str">
            <v>SUP_WSTBIO</v>
          </cell>
          <cell r="E56">
            <v>0.11258834983703246</v>
          </cell>
          <cell r="F56">
            <v>0.12475685848329146</v>
          </cell>
          <cell r="G56">
            <v>0.12057336772875972</v>
          </cell>
          <cell r="H56">
            <v>0.1243674468216789</v>
          </cell>
          <cell r="I56">
            <v>0.121006488764047</v>
          </cell>
          <cell r="J56">
            <v>0.17338709604414279</v>
          </cell>
        </row>
        <row r="57">
          <cell r="A57" t="str">
            <v>ELC35</v>
          </cell>
          <cell r="B57" t="str">
            <v>VAR_fout</v>
          </cell>
          <cell r="C57" t="str">
            <v>SUP_WODBIO</v>
          </cell>
          <cell r="G57">
            <v>5.7654899145430842E-6</v>
          </cell>
          <cell r="H57">
            <v>9.0051462272651116E-6</v>
          </cell>
          <cell r="I57">
            <v>1.1402226368645366E-5</v>
          </cell>
          <cell r="J57">
            <v>1.1292550723279083E-5</v>
          </cell>
        </row>
        <row r="58">
          <cell r="A58" t="str">
            <v>ELC35</v>
          </cell>
          <cell r="B58" t="str">
            <v>VAR_fin</v>
          </cell>
          <cell r="C58" t="str">
            <v>D-CELC</v>
          </cell>
          <cell r="E58">
            <v>0.36564370596558887</v>
          </cell>
          <cell r="F58">
            <v>5.1510948419166189E-2</v>
          </cell>
          <cell r="G58">
            <v>0.4344213698387564</v>
          </cell>
          <cell r="H58">
            <v>3.3786994772826325E-2</v>
          </cell>
          <cell r="I58">
            <v>0.26592671278165336</v>
          </cell>
          <cell r="J58">
            <v>0.25109488468005797</v>
          </cell>
        </row>
        <row r="59">
          <cell r="A59" t="str">
            <v>SCH2S</v>
          </cell>
          <cell r="B59" t="str">
            <v>VAR_fin</v>
          </cell>
          <cell r="C59" t="str">
            <v>SUP_NGAH2</v>
          </cell>
          <cell r="J59">
            <v>9.0216915396956797E-4</v>
          </cell>
        </row>
        <row r="60">
          <cell r="A60" t="str">
            <v>CWST</v>
          </cell>
          <cell r="B60" t="str">
            <v>VAR_fout</v>
          </cell>
          <cell r="C60" t="str">
            <v>D-CWST</v>
          </cell>
          <cell r="E60">
            <v>9.6793812759894422</v>
          </cell>
          <cell r="F60">
            <v>10.725525347892107</v>
          </cell>
          <cell r="G60">
            <v>10.365864671309646</v>
          </cell>
          <cell r="H60">
            <v>10.692047071040907</v>
          </cell>
          <cell r="I60">
            <v>10.403579084917755</v>
          </cell>
          <cell r="J60">
            <v>14.906870078638926</v>
          </cell>
        </row>
        <row r="61">
          <cell r="A61" t="str">
            <v>CWST</v>
          </cell>
          <cell r="B61" t="str">
            <v>VAR_fin</v>
          </cell>
          <cell r="C61" t="str">
            <v>SUP_WSTHTGBIO</v>
          </cell>
          <cell r="I61">
            <v>5.0452077907682763E-4</v>
          </cell>
          <cell r="J61">
            <v>5.5809224538816329E-4</v>
          </cell>
        </row>
        <row r="62">
          <cell r="A62" t="str">
            <v>CWST</v>
          </cell>
          <cell r="B62" t="str">
            <v>VAR_fin</v>
          </cell>
          <cell r="C62" t="str">
            <v>SUP_WSTBIO</v>
          </cell>
          <cell r="E62">
            <v>9.6793812759894422</v>
          </cell>
          <cell r="F62">
            <v>10.725525347892107</v>
          </cell>
          <cell r="G62">
            <v>10.365864671309646</v>
          </cell>
          <cell r="H62">
            <v>10.692047071040907</v>
          </cell>
          <cell r="I62">
            <v>10.403100705457648</v>
          </cell>
          <cell r="J62">
            <v>14.906336342766446</v>
          </cell>
        </row>
        <row r="63">
          <cell r="A63" t="str">
            <v>NGA</v>
          </cell>
          <cell r="B63" t="str">
            <v>VAR_fout</v>
          </cell>
          <cell r="C63" t="str">
            <v>D-LNGA</v>
          </cell>
          <cell r="H63">
            <v>6.3618322069316233E-4</v>
          </cell>
          <cell r="I63">
            <v>4.9343728646325644E-4</v>
          </cell>
          <cell r="J63">
            <v>2.8395802958704799E-4</v>
          </cell>
        </row>
        <row r="64">
          <cell r="A64" t="str">
            <v>NGA</v>
          </cell>
          <cell r="B64" t="str">
            <v>VAR_fin</v>
          </cell>
          <cell r="C64" t="str">
            <v>D-ENGA</v>
          </cell>
          <cell r="E64">
            <v>5.5226348384339916</v>
          </cell>
          <cell r="F64">
            <v>3.2208039337559566</v>
          </cell>
          <cell r="G64">
            <v>1.0301129917000775</v>
          </cell>
          <cell r="H64">
            <v>3.0931864179302853</v>
          </cell>
          <cell r="I64">
            <v>5.7544212653135327</v>
          </cell>
          <cell r="J64">
            <v>17.938936323585935</v>
          </cell>
        </row>
        <row r="65">
          <cell r="A65" t="str">
            <v>NGA</v>
          </cell>
          <cell r="B65" t="str">
            <v>VAR_fin</v>
          </cell>
          <cell r="C65" t="str">
            <v>D-TNGA</v>
          </cell>
          <cell r="E65">
            <v>0.28509932980293096</v>
          </cell>
          <cell r="F65">
            <v>0.13894785207506319</v>
          </cell>
          <cell r="G65">
            <v>0.20892018534206344</v>
          </cell>
          <cell r="H65">
            <v>5.176069280176142E-3</v>
          </cell>
          <cell r="I65">
            <v>4.7395413959477953E-3</v>
          </cell>
          <cell r="J65">
            <v>4.2786240167385385E-3</v>
          </cell>
        </row>
        <row r="66">
          <cell r="A66" t="str">
            <v>NGA</v>
          </cell>
          <cell r="B66" t="str">
            <v>VAR_fin</v>
          </cell>
          <cell r="C66" t="str">
            <v>D-SNGA</v>
          </cell>
          <cell r="E66">
            <v>26.991489565805491</v>
          </cell>
          <cell r="F66">
            <v>26.875933843477728</v>
          </cell>
          <cell r="G66">
            <v>24.270593253758836</v>
          </cell>
          <cell r="H66">
            <v>22.959410615435246</v>
          </cell>
          <cell r="I66">
            <v>17.428858995504751</v>
          </cell>
          <cell r="J66">
            <v>22.319487735432176</v>
          </cell>
        </row>
        <row r="67">
          <cell r="A67" t="str">
            <v>NGA</v>
          </cell>
          <cell r="B67" t="str">
            <v>VAR_fin</v>
          </cell>
          <cell r="C67" t="str">
            <v>D-RNGA</v>
          </cell>
          <cell r="E67">
            <v>47.018818847539137</v>
          </cell>
          <cell r="F67">
            <v>46.341733837067508</v>
          </cell>
          <cell r="G67">
            <v>47.51337905161332</v>
          </cell>
          <cell r="H67">
            <v>46.348758524745492</v>
          </cell>
          <cell r="I67">
            <v>45.720167049903942</v>
          </cell>
          <cell r="J67">
            <v>37.744005838643304</v>
          </cell>
        </row>
        <row r="68">
          <cell r="A68" t="str">
            <v>NGA</v>
          </cell>
          <cell r="B68" t="str">
            <v>VAR_fin</v>
          </cell>
          <cell r="C68" t="str">
            <v>D-INGA</v>
          </cell>
          <cell r="E68">
            <v>37.26348189386102</v>
          </cell>
          <cell r="F68">
            <v>30.142527477952704</v>
          </cell>
          <cell r="G68">
            <v>32.904626423498897</v>
          </cell>
          <cell r="H68">
            <v>29.577365275830321</v>
          </cell>
          <cell r="I68">
            <v>25.285838036885767</v>
          </cell>
          <cell r="J68">
            <v>18.63259399317263</v>
          </cell>
        </row>
        <row r="69">
          <cell r="A69" t="str">
            <v>CO2</v>
          </cell>
          <cell r="B69" t="str">
            <v>VAR_fout</v>
          </cell>
          <cell r="C69" t="str">
            <v>D-ENGA</v>
          </cell>
          <cell r="E69">
            <v>311.47660488767701</v>
          </cell>
          <cell r="F69">
            <v>181.653341863836</v>
          </cell>
          <cell r="G69">
            <v>58.098372731884403</v>
          </cell>
          <cell r="H69">
            <v>174.45571397126801</v>
          </cell>
          <cell r="I69">
            <v>324.54935936368298</v>
          </cell>
          <cell r="J69">
            <v>1011.75600865025</v>
          </cell>
        </row>
        <row r="70">
          <cell r="A70" t="str">
            <v>CO2</v>
          </cell>
          <cell r="B70" t="str">
            <v>VAR_fout</v>
          </cell>
          <cell r="C70" t="str">
            <v>D-ILFO</v>
          </cell>
          <cell r="E70">
            <v>689.07517068455797</v>
          </cell>
          <cell r="F70">
            <v>659.57595052482202</v>
          </cell>
          <cell r="G70">
            <v>598.676542288782</v>
          </cell>
          <cell r="H70">
            <v>523.430875047521</v>
          </cell>
          <cell r="I70">
            <v>150.53794995233201</v>
          </cell>
          <cell r="J70">
            <v>1.68272785712054E-2</v>
          </cell>
        </row>
        <row r="71">
          <cell r="A71" t="str">
            <v>CO2</v>
          </cell>
          <cell r="B71" t="str">
            <v>VAR_fout</v>
          </cell>
          <cell r="C71" t="str">
            <v>D-TNGA</v>
          </cell>
          <cell r="E71">
            <v>16.079602200885301</v>
          </cell>
          <cell r="F71">
            <v>7.8366588570335702</v>
          </cell>
          <cell r="G71">
            <v>11.7830984532924</v>
          </cell>
          <cell r="H71">
            <v>0.29193030740193399</v>
          </cell>
          <cell r="I71">
            <v>0.26731013473145498</v>
          </cell>
          <cell r="J71">
            <v>0.24131439454405401</v>
          </cell>
        </row>
        <row r="72">
          <cell r="A72" t="str">
            <v>CO2</v>
          </cell>
          <cell r="B72" t="str">
            <v>VAR_fout</v>
          </cell>
          <cell r="C72" t="str">
            <v>D-SNGA</v>
          </cell>
          <cell r="E72">
            <v>1522.32001151143</v>
          </cell>
          <cell r="F72">
            <v>1515.8026687721399</v>
          </cell>
          <cell r="G72">
            <v>1368.861459512</v>
          </cell>
          <cell r="H72">
            <v>1294.91075871055</v>
          </cell>
          <cell r="I72">
            <v>982.98764734646795</v>
          </cell>
          <cell r="J72">
            <v>1258.8191082783701</v>
          </cell>
        </row>
        <row r="73">
          <cell r="A73" t="str">
            <v>CO2</v>
          </cell>
          <cell r="B73" t="str">
            <v>VAR_fout</v>
          </cell>
          <cell r="C73" t="str">
            <v>D-RNGA</v>
          </cell>
          <cell r="E73">
            <v>2651.86138300121</v>
          </cell>
          <cell r="F73">
            <v>2613.6737884106101</v>
          </cell>
          <cell r="G73">
            <v>2679.7545785109901</v>
          </cell>
          <cell r="H73">
            <v>2614.0699807956498</v>
          </cell>
          <cell r="I73">
            <v>2578.6174216145801</v>
          </cell>
          <cell r="J73">
            <v>2128.76192929948</v>
          </cell>
        </row>
        <row r="74">
          <cell r="A74" t="str">
            <v>CO2</v>
          </cell>
          <cell r="B74" t="str">
            <v>VAR_fout</v>
          </cell>
          <cell r="C74" t="str">
            <v>D-SLFO</v>
          </cell>
          <cell r="E74">
            <v>2267.7886725573599</v>
          </cell>
          <cell r="F74">
            <v>1988.1083392676701</v>
          </cell>
          <cell r="G74">
            <v>1985.93539075386</v>
          </cell>
          <cell r="H74">
            <v>1438.3802653319999</v>
          </cell>
          <cell r="I74">
            <v>900.85933718968204</v>
          </cell>
          <cell r="J74">
            <v>389.30618083760402</v>
          </cell>
        </row>
        <row r="75">
          <cell r="A75" t="str">
            <v>CO2</v>
          </cell>
          <cell r="B75" t="str">
            <v>VAR_fout</v>
          </cell>
          <cell r="C75" t="str">
            <v>D-RLFO</v>
          </cell>
          <cell r="E75">
            <v>4514.4866764600702</v>
          </cell>
          <cell r="F75">
            <v>3846.5290514143899</v>
          </cell>
          <cell r="G75">
            <v>3738.7366679840602</v>
          </cell>
          <cell r="H75">
            <v>2434.1112412084699</v>
          </cell>
          <cell r="I75">
            <v>1291.1150741393801</v>
          </cell>
          <cell r="J75">
            <v>427.451479614341</v>
          </cell>
        </row>
        <row r="76">
          <cell r="A76" t="str">
            <v>CO2</v>
          </cell>
          <cell r="B76" t="str">
            <v>VAR_fout</v>
          </cell>
          <cell r="C76" t="str">
            <v>D-TGSL</v>
          </cell>
          <cell r="E76">
            <v>5894.9936043378602</v>
          </cell>
          <cell r="F76">
            <v>5602.5266142349701</v>
          </cell>
          <cell r="G76">
            <v>5328.3336987614302</v>
          </cell>
          <cell r="H76">
            <v>4106.9020453692501</v>
          </cell>
          <cell r="I76">
            <v>2794.3474737003098</v>
          </cell>
          <cell r="J76">
            <v>2079.6461514724901</v>
          </cell>
        </row>
        <row r="77">
          <cell r="A77" t="str">
            <v>CO2</v>
          </cell>
          <cell r="B77" t="str">
            <v>VAR_fout</v>
          </cell>
          <cell r="C77" t="str">
            <v>D-INGA</v>
          </cell>
          <cell r="E77">
            <v>2101.66037881376</v>
          </cell>
          <cell r="F77">
            <v>1700.0385497565301</v>
          </cell>
          <cell r="G77">
            <v>1855.82093028534</v>
          </cell>
          <cell r="H77">
            <v>1668.16340155683</v>
          </cell>
          <cell r="I77">
            <v>1426.1212652803599</v>
          </cell>
          <cell r="J77">
            <v>1050.8783012149399</v>
          </cell>
        </row>
        <row r="78">
          <cell r="A78" t="str">
            <v>ENGA</v>
          </cell>
          <cell r="B78" t="str">
            <v>VAR_fout</v>
          </cell>
          <cell r="C78" t="str">
            <v>D-ENGA</v>
          </cell>
          <cell r="E78">
            <v>5.7078419689436037</v>
          </cell>
          <cell r="F78">
            <v>3.210613073052679</v>
          </cell>
          <cell r="G78">
            <v>1.1082201991239125</v>
          </cell>
          <cell r="H78">
            <v>3.6023344626557567</v>
          </cell>
          <cell r="I78">
            <v>6.2550914917436922</v>
          </cell>
          <cell r="J78">
            <v>18.400810967595699</v>
          </cell>
        </row>
        <row r="79">
          <cell r="A79" t="str">
            <v>ILFO</v>
          </cell>
          <cell r="B79" t="str">
            <v>VAR_fout</v>
          </cell>
          <cell r="C79" t="str">
            <v>D-ILFO</v>
          </cell>
          <cell r="E79">
            <v>9.1935795425927331</v>
          </cell>
          <cell r="F79">
            <v>8.8000035750918695</v>
          </cell>
          <cell r="G79">
            <v>7.9875719915328194</v>
          </cell>
          <cell r="H79">
            <v>7.1422253176057851</v>
          </cell>
          <cell r="I79">
            <v>3.3382045310330839</v>
          </cell>
          <cell r="J79">
            <v>1.3299839674420064</v>
          </cell>
        </row>
        <row r="80">
          <cell r="A80" t="str">
            <v>CHEAT</v>
          </cell>
          <cell r="B80" t="str">
            <v>VAR_fout</v>
          </cell>
          <cell r="C80" t="str">
            <v>D-CHEAT</v>
          </cell>
          <cell r="I80">
            <v>3.6711227578252475E-4</v>
          </cell>
          <cell r="J80">
            <v>2.5355028960067711E-4</v>
          </cell>
        </row>
        <row r="81">
          <cell r="A81" t="str">
            <v>CHEAT</v>
          </cell>
          <cell r="B81" t="str">
            <v>VAR_fin</v>
          </cell>
          <cell r="C81" t="str">
            <v>SUP_ELCH2_SOEC</v>
          </cell>
          <cell r="I81">
            <v>3.6711227578252475E-4</v>
          </cell>
          <cell r="J81">
            <v>2.5355028960067711E-4</v>
          </cell>
        </row>
        <row r="82">
          <cell r="A82" t="str">
            <v>TDSL</v>
          </cell>
          <cell r="B82" t="str">
            <v>VAR_fout</v>
          </cell>
          <cell r="C82" t="str">
            <v>D-TBDS1</v>
          </cell>
          <cell r="E82">
            <v>2.9720001273337382</v>
          </cell>
          <cell r="F82">
            <v>2.9709478174744071</v>
          </cell>
          <cell r="G82">
            <v>4.4521701594171175</v>
          </cell>
          <cell r="H82">
            <v>3.3143245510002628</v>
          </cell>
          <cell r="I82">
            <v>1.9908329317791864</v>
          </cell>
          <cell r="J82">
            <v>2.0248552537219959</v>
          </cell>
        </row>
        <row r="83">
          <cell r="A83" t="str">
            <v>CNGA</v>
          </cell>
          <cell r="B83" t="str">
            <v>VAR_fout</v>
          </cell>
          <cell r="C83" t="str">
            <v>D-CNGA</v>
          </cell>
          <cell r="J83">
            <v>1.187064676275747E-3</v>
          </cell>
        </row>
        <row r="84">
          <cell r="A84" t="str">
            <v>CNGA</v>
          </cell>
          <cell r="B84" t="str">
            <v>VAR_fin</v>
          </cell>
          <cell r="C84" t="str">
            <v>SUP_NGAH2</v>
          </cell>
          <cell r="J84">
            <v>1.187064676275747E-3</v>
          </cell>
        </row>
        <row r="85">
          <cell r="A85" t="str">
            <v>LBIO</v>
          </cell>
          <cell r="B85" t="str">
            <v>VAR_fin</v>
          </cell>
          <cell r="C85" t="str">
            <v>D-LBIO</v>
          </cell>
          <cell r="H85">
            <v>2.134764583442661</v>
          </cell>
          <cell r="I85">
            <v>2.1348527157798936</v>
          </cell>
          <cell r="J85">
            <v>2.1351830061197736</v>
          </cell>
        </row>
        <row r="86">
          <cell r="A86" t="str">
            <v>H2_E</v>
          </cell>
          <cell r="B86" t="str">
            <v>VAR_fout</v>
          </cell>
          <cell r="C86" t="str">
            <v>SUP_ELCH2_D</v>
          </cell>
          <cell r="H86">
            <v>1.3216685588187349E-6</v>
          </cell>
          <cell r="I86">
            <v>1.1718613934280377E-3</v>
          </cell>
          <cell r="J86">
            <v>1.4792575957353084E-3</v>
          </cell>
        </row>
        <row r="87">
          <cell r="A87" t="str">
            <v>H2_E</v>
          </cell>
          <cell r="B87" t="str">
            <v>VAR_fin</v>
          </cell>
          <cell r="C87" t="str">
            <v>D-DH2</v>
          </cell>
          <cell r="H87">
            <v>1.3216685588187349E-6</v>
          </cell>
          <cell r="I87">
            <v>1.1718613934280377E-3</v>
          </cell>
          <cell r="J87">
            <v>1.4792575957353084E-3</v>
          </cell>
        </row>
        <row r="88">
          <cell r="A88" t="str">
            <v>BNGA</v>
          </cell>
          <cell r="B88" t="str">
            <v>VAR_fout</v>
          </cell>
          <cell r="C88" t="str">
            <v>SUP_BIONGA</v>
          </cell>
          <cell r="E88">
            <v>1.1764785163233034</v>
          </cell>
          <cell r="F88">
            <v>3.8140167071429172</v>
          </cell>
          <cell r="G88">
            <v>3.1734207674832344</v>
          </cell>
          <cell r="H88">
            <v>3.1732993049492517</v>
          </cell>
          <cell r="I88">
            <v>3.172071117831861</v>
          </cell>
          <cell r="J88">
            <v>3.1730891246419533</v>
          </cell>
        </row>
        <row r="89">
          <cell r="A89" t="str">
            <v>BNGA</v>
          </cell>
          <cell r="B89" t="str">
            <v>VAR_fin</v>
          </cell>
          <cell r="C89" t="str">
            <v>D-ENGA</v>
          </cell>
          <cell r="E89">
            <v>0.20344151426916718</v>
          </cell>
          <cell r="F89">
            <v>5.6460838675030456E-5</v>
          </cell>
          <cell r="G89">
            <v>8.1632960735298979E-2</v>
          </cell>
          <cell r="H89">
            <v>0.52064574772576655</v>
          </cell>
          <cell r="I89">
            <v>0.52066408581561729</v>
          </cell>
          <cell r="J89">
            <v>0.52066720381867926</v>
          </cell>
        </row>
        <row r="90">
          <cell r="A90" t="str">
            <v>BNGA</v>
          </cell>
          <cell r="B90" t="str">
            <v>VAR_fin</v>
          </cell>
          <cell r="C90" t="str">
            <v>D-CNGA</v>
          </cell>
          <cell r="J90">
            <v>1.1908568963428742E-3</v>
          </cell>
        </row>
        <row r="91">
          <cell r="A91" t="str">
            <v>BNGA</v>
          </cell>
          <cell r="B91" t="str">
            <v>VAR_fin</v>
          </cell>
          <cell r="C91" t="str">
            <v>D-TNGA</v>
          </cell>
          <cell r="E91">
            <v>2.3027619425929249E-2</v>
          </cell>
          <cell r="F91">
            <v>1.4959526191229127E-2</v>
          </cell>
          <cell r="G91">
            <v>2.2001242087849732E-2</v>
          </cell>
          <cell r="H91">
            <v>2.4135210540145296E-4</v>
          </cell>
          <cell r="I91">
            <v>8.7794054992653396E-5</v>
          </cell>
          <cell r="J91">
            <v>6.7487303593603097E-5</v>
          </cell>
        </row>
        <row r="92">
          <cell r="A92" t="str">
            <v>BNGA</v>
          </cell>
          <cell r="B92" t="str">
            <v>VAR_fin</v>
          </cell>
          <cell r="C92" t="str">
            <v>D-SNGA</v>
          </cell>
          <cell r="E92">
            <v>0.30812399485881542</v>
          </cell>
          <cell r="F92">
            <v>1.7034663356405173</v>
          </cell>
          <cell r="G92">
            <v>0.97268115189417015</v>
          </cell>
          <cell r="H92">
            <v>6.8615794820821329E-4</v>
          </cell>
          <cell r="I92">
            <v>1.5264972872579093E-4</v>
          </cell>
          <cell r="J92">
            <v>1.0089307633081657E-4</v>
          </cell>
        </row>
        <row r="93">
          <cell r="A93" t="str">
            <v>BNGA</v>
          </cell>
          <cell r="B93" t="str">
            <v>VAR_fin</v>
          </cell>
          <cell r="C93" t="str">
            <v>D-RNGA</v>
          </cell>
          <cell r="E93">
            <v>0.31217825457288184</v>
          </cell>
          <cell r="F93">
            <v>2.0955129841116067</v>
          </cell>
          <cell r="G93">
            <v>1.1891700973213322</v>
          </cell>
          <cell r="H93">
            <v>7.0002063342414558E-4</v>
          </cell>
          <cell r="I93">
            <v>1.5348338919326328E-4</v>
          </cell>
          <cell r="J93">
            <v>1.006816027565621E-4</v>
          </cell>
        </row>
        <row r="94">
          <cell r="A94" t="str">
            <v>BNGA</v>
          </cell>
          <cell r="B94" t="str">
            <v>VAR_fin</v>
          </cell>
          <cell r="C94" t="str">
            <v>D-INGA</v>
          </cell>
          <cell r="E94">
            <v>0.32974905388242864</v>
          </cell>
          <cell r="F94">
            <v>5.7981873990979543E-5</v>
          </cell>
          <cell r="G94">
            <v>0.90796177138208645</v>
          </cell>
          <cell r="H94">
            <v>2.6510380657823656</v>
          </cell>
          <cell r="I94">
            <v>2.6510428934156205</v>
          </cell>
          <cell r="J94">
            <v>2.651052562890726</v>
          </cell>
        </row>
        <row r="95">
          <cell r="A95" t="str">
            <v>LFO</v>
          </cell>
          <cell r="B95" t="str">
            <v>VAR_fin</v>
          </cell>
          <cell r="C95" t="str">
            <v>D-ILFO</v>
          </cell>
          <cell r="E95">
            <v>9.3497309455163968</v>
          </cell>
          <cell r="F95">
            <v>8.9494701563747938</v>
          </cell>
          <cell r="G95">
            <v>8.1231552549359876</v>
          </cell>
          <cell r="H95">
            <v>7.1021828364656896</v>
          </cell>
          <cell r="I95">
            <v>2.0425773399230889</v>
          </cell>
          <cell r="J95">
            <v>2.2832128319138934E-4</v>
          </cell>
        </row>
        <row r="96">
          <cell r="A96" t="str">
            <v>LFO</v>
          </cell>
          <cell r="B96" t="str">
            <v>VAR_fin</v>
          </cell>
          <cell r="C96" t="str">
            <v>D-SLFO</v>
          </cell>
          <cell r="E96">
            <v>30.770538297928887</v>
          </cell>
          <cell r="F96">
            <v>26.975689813672659</v>
          </cell>
          <cell r="G96">
            <v>26.946206116063262</v>
          </cell>
          <cell r="H96">
            <v>19.516692881031222</v>
          </cell>
          <cell r="I96">
            <v>12.223328862817944</v>
          </cell>
          <cell r="J96">
            <v>5.2823091022741488</v>
          </cell>
        </row>
        <row r="97">
          <cell r="A97" t="str">
            <v>LFO</v>
          </cell>
          <cell r="B97" t="str">
            <v>VAR_fin</v>
          </cell>
          <cell r="C97" t="str">
            <v>D-RLFO</v>
          </cell>
          <cell r="E97">
            <v>61.254907414654987</v>
          </cell>
          <cell r="F97">
            <v>52.19171033126721</v>
          </cell>
          <cell r="G97">
            <v>50.729127109688697</v>
          </cell>
          <cell r="H97">
            <v>33.027289568635943</v>
          </cell>
          <cell r="I97">
            <v>17.518522037169319</v>
          </cell>
          <cell r="J97">
            <v>5.7998843909679936</v>
          </cell>
        </row>
        <row r="98">
          <cell r="A98" t="str">
            <v>MNR</v>
          </cell>
          <cell r="B98" t="str">
            <v>VAR_fin</v>
          </cell>
          <cell r="C98" t="str">
            <v>SUP_MNRBIO</v>
          </cell>
          <cell r="E98">
            <v>3.7981060759479917</v>
          </cell>
          <cell r="F98">
            <v>10.707989460631929</v>
          </cell>
          <cell r="G98">
            <v>12.540098936358259</v>
          </cell>
          <cell r="H98">
            <v>12.540426702939271</v>
          </cell>
          <cell r="I98">
            <v>14.623726710352033</v>
          </cell>
          <cell r="J98">
            <v>18.811312156095507</v>
          </cell>
        </row>
        <row r="99">
          <cell r="A99" t="str">
            <v>TNGA</v>
          </cell>
          <cell r="B99" t="str">
            <v>VAR_fout</v>
          </cell>
          <cell r="C99" t="str">
            <v>D-TNGA</v>
          </cell>
          <cell r="E99">
            <v>0.30714721330126415</v>
          </cell>
          <cell r="F99">
            <v>0.15525508993767564</v>
          </cell>
          <cell r="G99">
            <v>0.23527720997748036</v>
          </cell>
          <cell r="H99">
            <v>5.4470473080482223E-3</v>
          </cell>
          <cell r="I99">
            <v>4.8539192316935081E-3</v>
          </cell>
          <cell r="J99">
            <v>4.3693264154915906E-3</v>
          </cell>
        </row>
        <row r="100">
          <cell r="A100" t="str">
            <v>WOD</v>
          </cell>
          <cell r="B100" t="str">
            <v>VAR_fin</v>
          </cell>
          <cell r="C100" t="str">
            <v>D-CWOD</v>
          </cell>
          <cell r="E100">
            <v>9.4239031363625703</v>
          </cell>
          <cell r="F100">
            <v>10.113258034856543</v>
          </cell>
          <cell r="G100">
            <v>6.3596558932007339</v>
          </cell>
          <cell r="H100">
            <v>3.5166270270513769</v>
          </cell>
          <cell r="I100">
            <v>4.6289013959957961</v>
          </cell>
          <cell r="J100">
            <v>5.4807138861792746</v>
          </cell>
        </row>
        <row r="101">
          <cell r="A101" t="str">
            <v>GSL</v>
          </cell>
          <cell r="B101" t="str">
            <v>VAR_fin</v>
          </cell>
          <cell r="C101" t="str">
            <v>D-TGSL</v>
          </cell>
          <cell r="E101">
            <v>79.877962118399239</v>
          </cell>
          <cell r="F101">
            <v>75.914994772831548</v>
          </cell>
          <cell r="G101">
            <v>72.199643614653553</v>
          </cell>
          <cell r="H101">
            <v>55.649079205545391</v>
          </cell>
          <cell r="I101">
            <v>37.863786906508274</v>
          </cell>
          <cell r="J101">
            <v>28.179487147323755</v>
          </cell>
        </row>
        <row r="102">
          <cell r="A102" t="str">
            <v>IBIO</v>
          </cell>
          <cell r="B102" t="str">
            <v>VAR_fout</v>
          </cell>
          <cell r="C102" t="str">
            <v>D-IBIO</v>
          </cell>
          <cell r="E102">
            <v>0.43676157628678225</v>
          </cell>
          <cell r="F102">
            <v>0.55207409248493622</v>
          </cell>
          <cell r="G102">
            <v>2.7098498926148737</v>
          </cell>
          <cell r="H102">
            <v>5.5619447395981858</v>
          </cell>
          <cell r="I102">
            <v>6.4187004309308904</v>
          </cell>
          <cell r="J102">
            <v>11.140836746794079</v>
          </cell>
        </row>
        <row r="103">
          <cell r="A103" t="str">
            <v>SNGA</v>
          </cell>
          <cell r="B103" t="str">
            <v>VAR_fout</v>
          </cell>
          <cell r="C103" t="str">
            <v>D-SNGA</v>
          </cell>
          <cell r="E103">
            <v>27.212679402002998</v>
          </cell>
          <cell r="F103">
            <v>28.488390608448135</v>
          </cell>
          <cell r="G103">
            <v>25.162888549002115</v>
          </cell>
          <cell r="H103">
            <v>22.886975980813222</v>
          </cell>
          <cell r="I103">
            <v>17.373497581502981</v>
          </cell>
          <cell r="J103">
            <v>22.248499777779564</v>
          </cell>
        </row>
        <row r="104">
          <cell r="A104" t="str">
            <v>AUX_H2STG_IN</v>
          </cell>
          <cell r="B104" t="str">
            <v>VAR_fin</v>
          </cell>
          <cell r="C104" t="str">
            <v>STG-H2</v>
          </cell>
          <cell r="H104">
            <v>5.8651641778771866E-6</v>
          </cell>
          <cell r="I104">
            <v>2.0304021210846573E-5</v>
          </cell>
          <cell r="J104">
            <v>3.4306313669091284E-5</v>
          </cell>
        </row>
        <row r="105">
          <cell r="A105" t="str">
            <v>AUX_H2STG_IN</v>
          </cell>
          <cell r="B105" t="str">
            <v>VAR_fin</v>
          </cell>
          <cell r="C105" t="str">
            <v>STG-H2</v>
          </cell>
          <cell r="H105">
            <v>2.4227558865308656E-5</v>
          </cell>
          <cell r="I105">
            <v>9.5309141827164859E-5</v>
          </cell>
          <cell r="J105">
            <v>3.7544692303452532E-2</v>
          </cell>
        </row>
        <row r="106">
          <cell r="A106" t="str">
            <v>AUX_H2STG_IN</v>
          </cell>
          <cell r="B106" t="str">
            <v>VAR_fin</v>
          </cell>
          <cell r="C106" t="str">
            <v>STG-H2</v>
          </cell>
          <cell r="H106">
            <v>5.9758797697217301E-6</v>
          </cell>
          <cell r="I106">
            <v>1.4486709024541248E-5</v>
          </cell>
          <cell r="J106">
            <v>2.4894695490254329E-5</v>
          </cell>
        </row>
        <row r="107">
          <cell r="A107" t="str">
            <v>AUX_H2STG_IN</v>
          </cell>
          <cell r="B107" t="str">
            <v>VAR_fin</v>
          </cell>
          <cell r="C107" t="str">
            <v>STG-H2</v>
          </cell>
          <cell r="H107">
            <v>5.248923851110321E-6</v>
          </cell>
          <cell r="I107">
            <v>1.9012421595201482E-5</v>
          </cell>
          <cell r="J107">
            <v>2.9729563115224605E-5</v>
          </cell>
        </row>
        <row r="108">
          <cell r="A108" t="str">
            <v>AUX_H2STG_IN</v>
          </cell>
          <cell r="B108" t="str">
            <v>VAR_fin</v>
          </cell>
          <cell r="C108" t="str">
            <v>STG-H2</v>
          </cell>
          <cell r="H108">
            <v>7.1375910665994415E-6</v>
          </cell>
          <cell r="I108">
            <v>4.1505989996575647E-5</v>
          </cell>
          <cell r="J108">
            <v>3.7455761731177969E-2</v>
          </cell>
        </row>
        <row r="109">
          <cell r="A109" t="str">
            <v>H2</v>
          </cell>
          <cell r="B109" t="str">
            <v>VAR_fout</v>
          </cell>
          <cell r="C109" t="str">
            <v>SUP_NGAH2</v>
          </cell>
          <cell r="J109">
            <v>9.0216915396956797E-4</v>
          </cell>
        </row>
        <row r="110">
          <cell r="A110" t="str">
            <v>H2</v>
          </cell>
          <cell r="B110" t="str">
            <v>VAR_fout</v>
          </cell>
          <cell r="C110" t="str">
            <v>STG-H2</v>
          </cell>
          <cell r="H110">
            <v>5.8169874866169967E-6</v>
          </cell>
          <cell r="I110">
            <v>2.2699850015954149E-5</v>
          </cell>
          <cell r="J110">
            <v>2.4585224322821076E-4</v>
          </cell>
        </row>
        <row r="111">
          <cell r="A111" t="str">
            <v>H2</v>
          </cell>
          <cell r="B111" t="str">
            <v>VAR_fout</v>
          </cell>
          <cell r="C111" t="str">
            <v>STG-H2</v>
          </cell>
          <cell r="H111">
            <v>2.4112132690316663E-5</v>
          </cell>
          <cell r="I111">
            <v>9.4358513798734861E-5</v>
          </cell>
          <cell r="J111">
            <v>3.7169211400302576E-2</v>
          </cell>
        </row>
        <row r="112">
          <cell r="A112" t="str">
            <v>H2</v>
          </cell>
          <cell r="B112" t="str">
            <v>VAR_fout</v>
          </cell>
          <cell r="C112" t="str">
            <v>STG-H2</v>
          </cell>
          <cell r="H112">
            <v>7.3560776430657273E-6</v>
          </cell>
          <cell r="I112">
            <v>3.2825323401109744E-5</v>
          </cell>
          <cell r="J112">
            <v>2.0238509912241645E-2</v>
          </cell>
        </row>
        <row r="113">
          <cell r="A113" t="str">
            <v>H2</v>
          </cell>
          <cell r="B113" t="str">
            <v>VAR_fout</v>
          </cell>
          <cell r="C113" t="str">
            <v>STG-H2</v>
          </cell>
          <cell r="H113">
            <v>4.9532767894492265E-6</v>
          </cell>
          <cell r="I113">
            <v>2.3434768800930225E-5</v>
          </cell>
          <cell r="J113">
            <v>1.6576152423960638E-2</v>
          </cell>
        </row>
        <row r="114">
          <cell r="A114" t="str">
            <v>H2</v>
          </cell>
          <cell r="B114" t="str">
            <v>VAR_fout</v>
          </cell>
          <cell r="C114" t="str">
            <v>STG-H2</v>
          </cell>
          <cell r="H114">
            <v>5.9857907711846896E-6</v>
          </cell>
          <cell r="I114">
            <v>1.5398571580740645E-5</v>
          </cell>
          <cell r="J114">
            <v>1.0869682087204711E-4</v>
          </cell>
        </row>
        <row r="115">
          <cell r="A115" t="str">
            <v>H2</v>
          </cell>
          <cell r="B115" t="str">
            <v>VAR_fout</v>
          </cell>
          <cell r="C115" t="str">
            <v>IMPH2</v>
          </cell>
          <cell r="I115">
            <v>8.2844004006968862E-4</v>
          </cell>
          <cell r="J115">
            <v>8.3022205458255357E-4</v>
          </cell>
        </row>
        <row r="116">
          <cell r="A116" t="str">
            <v>H2</v>
          </cell>
          <cell r="B116" t="str">
            <v>VAR_fout</v>
          </cell>
          <cell r="C116" t="str">
            <v>SUP_WODH2</v>
          </cell>
          <cell r="J116">
            <v>3.6187359935713881E-4</v>
          </cell>
        </row>
        <row r="117">
          <cell r="A117" t="str">
            <v>H2</v>
          </cell>
          <cell r="B117" t="str">
            <v>VAR_fout</v>
          </cell>
          <cell r="C117" t="str">
            <v>SUP_ELCH2_SOEC</v>
          </cell>
          <cell r="I117">
            <v>2.4568283071599731E-3</v>
          </cell>
          <cell r="J117">
            <v>2.2819526064060988E-3</v>
          </cell>
        </row>
        <row r="118">
          <cell r="A118" t="str">
            <v>H2</v>
          </cell>
          <cell r="B118" t="str">
            <v>VAR_fout</v>
          </cell>
          <cell r="C118" t="str">
            <v>SUP_ELCH2</v>
          </cell>
          <cell r="E118">
            <v>3.3306472444687169E-3</v>
          </cell>
          <cell r="F118">
            <v>4.9774838042227834E-3</v>
          </cell>
          <cell r="G118">
            <v>8.1758005713241429E-3</v>
          </cell>
          <cell r="H118">
            <v>2.4576467129580795E-2</v>
          </cell>
          <cell r="I118">
            <v>0.2040983807633317</v>
          </cell>
          <cell r="J118">
            <v>0.20397383618222609</v>
          </cell>
        </row>
        <row r="119">
          <cell r="A119" t="str">
            <v>H2</v>
          </cell>
          <cell r="B119" t="str">
            <v>VAR_fout</v>
          </cell>
          <cell r="C119" t="str">
            <v>D-DH2</v>
          </cell>
          <cell r="H119">
            <v>1.3084518732305474E-6</v>
          </cell>
          <cell r="I119">
            <v>1.1601427794937578E-3</v>
          </cell>
          <cell r="J119">
            <v>1.4644650197779556E-3</v>
          </cell>
        </row>
        <row r="120">
          <cell r="A120" t="str">
            <v>H2</v>
          </cell>
          <cell r="B120" t="str">
            <v>VAR_fin</v>
          </cell>
          <cell r="C120" t="str">
            <v>STG-H2</v>
          </cell>
          <cell r="H120">
            <v>5.8651641778771866E-6</v>
          </cell>
          <cell r="I120">
            <v>2.0304021210846573E-5</v>
          </cell>
          <cell r="J120">
            <v>3.4306313669091284E-5</v>
          </cell>
        </row>
        <row r="121">
          <cell r="A121" t="str">
            <v>H2</v>
          </cell>
          <cell r="B121" t="str">
            <v>VAR_fin</v>
          </cell>
          <cell r="C121" t="str">
            <v>STG-H2</v>
          </cell>
          <cell r="H121">
            <v>2.4227558865308656E-5</v>
          </cell>
          <cell r="I121">
            <v>9.5309141827164859E-5</v>
          </cell>
          <cell r="J121">
            <v>3.7544692303452532E-2</v>
          </cell>
        </row>
        <row r="122">
          <cell r="A122" t="str">
            <v>H2</v>
          </cell>
          <cell r="B122" t="str">
            <v>VAR_fin</v>
          </cell>
          <cell r="C122" t="str">
            <v>STG-H2</v>
          </cell>
          <cell r="H122">
            <v>5.9758797697217301E-6</v>
          </cell>
          <cell r="I122">
            <v>1.4486709024541248E-5</v>
          </cell>
          <cell r="J122">
            <v>2.4894695490254329E-5</v>
          </cell>
        </row>
        <row r="123">
          <cell r="A123" t="str">
            <v>H2</v>
          </cell>
          <cell r="B123" t="str">
            <v>VAR_fin</v>
          </cell>
          <cell r="C123" t="str">
            <v>STG-H2</v>
          </cell>
          <cell r="H123">
            <v>5.248923851110321E-6</v>
          </cell>
          <cell r="I123">
            <v>1.9012421595201482E-5</v>
          </cell>
          <cell r="J123">
            <v>2.9729563115224605E-5</v>
          </cell>
        </row>
        <row r="124">
          <cell r="A124" t="str">
            <v>H2</v>
          </cell>
          <cell r="B124" t="str">
            <v>VAR_fin</v>
          </cell>
          <cell r="C124" t="str">
            <v>STG-H2</v>
          </cell>
          <cell r="H124">
            <v>7.1375910665994415E-6</v>
          </cell>
          <cell r="I124">
            <v>4.1505989996575647E-5</v>
          </cell>
          <cell r="J124">
            <v>3.7455761731177969E-2</v>
          </cell>
        </row>
        <row r="125">
          <cell r="A125" t="str">
            <v>H2</v>
          </cell>
          <cell r="B125" t="str">
            <v>VAR_fin</v>
          </cell>
          <cell r="C125" t="str">
            <v>D-TNGA</v>
          </cell>
          <cell r="F125">
            <v>1.8428593976361585E-3</v>
          </cell>
          <cell r="G125">
            <v>5.1062680658365261E-3</v>
          </cell>
          <cell r="H125">
            <v>4.6648522638849981E-5</v>
          </cell>
          <cell r="I125">
            <v>4.1716122771395587E-5</v>
          </cell>
          <cell r="J125">
            <v>3.6956246206396765E-5</v>
          </cell>
        </row>
        <row r="126">
          <cell r="A126" t="str">
            <v>H2</v>
          </cell>
          <cell r="B126" t="str">
            <v>VAR_fin</v>
          </cell>
          <cell r="C126" t="str">
            <v>D-INGA</v>
          </cell>
          <cell r="H126">
            <v>2.0404272558941023E-2</v>
          </cell>
          <cell r="I126">
            <v>0.16456973562123492</v>
          </cell>
          <cell r="J126">
            <v>0.12902750913438518</v>
          </cell>
        </row>
        <row r="127">
          <cell r="A127" t="str">
            <v>AUX_H2STG_OUT</v>
          </cell>
          <cell r="B127" t="str">
            <v>VAR_fout</v>
          </cell>
          <cell r="C127" t="str">
            <v>STG-H2</v>
          </cell>
          <cell r="H127">
            <v>5.8169874866169967E-6</v>
          </cell>
          <cell r="I127">
            <v>2.2699850015954149E-5</v>
          </cell>
          <cell r="J127">
            <v>2.4585224322821076E-4</v>
          </cell>
        </row>
        <row r="128">
          <cell r="A128" t="str">
            <v>AUX_H2STG_OUT</v>
          </cell>
          <cell r="B128" t="str">
            <v>VAR_fout</v>
          </cell>
          <cell r="C128" t="str">
            <v>STG-H2</v>
          </cell>
          <cell r="H128">
            <v>2.4112132690316663E-5</v>
          </cell>
          <cell r="I128">
            <v>9.4358513798734861E-5</v>
          </cell>
          <cell r="J128">
            <v>3.7169211400302576E-2</v>
          </cell>
        </row>
        <row r="129">
          <cell r="A129" t="str">
            <v>AUX_H2STG_OUT</v>
          </cell>
          <cell r="B129" t="str">
            <v>VAR_fout</v>
          </cell>
          <cell r="C129" t="str">
            <v>STG-H2</v>
          </cell>
          <cell r="H129">
            <v>7.3560776430657273E-6</v>
          </cell>
          <cell r="I129">
            <v>3.2825323401109744E-5</v>
          </cell>
          <cell r="J129">
            <v>2.0238509912241645E-2</v>
          </cell>
        </row>
        <row r="130">
          <cell r="A130" t="str">
            <v>AUX_H2STG_OUT</v>
          </cell>
          <cell r="B130" t="str">
            <v>VAR_fout</v>
          </cell>
          <cell r="C130" t="str">
            <v>STG-H2</v>
          </cell>
          <cell r="H130">
            <v>4.9532767894492265E-6</v>
          </cell>
          <cell r="I130">
            <v>2.3434768800930225E-5</v>
          </cell>
          <cell r="J130">
            <v>1.6576152423960638E-2</v>
          </cell>
        </row>
        <row r="131">
          <cell r="A131" t="str">
            <v>AUX_H2STG_OUT</v>
          </cell>
          <cell r="B131" t="str">
            <v>VAR_fout</v>
          </cell>
          <cell r="C131" t="str">
            <v>STG-H2</v>
          </cell>
          <cell r="H131">
            <v>5.9857907711846896E-6</v>
          </cell>
          <cell r="I131">
            <v>1.5398571580740645E-5</v>
          </cell>
          <cell r="J131">
            <v>1.0869682087204713E-4</v>
          </cell>
        </row>
        <row r="132">
          <cell r="A132" t="str">
            <v>RNGA</v>
          </cell>
          <cell r="B132" t="str">
            <v>VAR_fout</v>
          </cell>
          <cell r="C132" t="str">
            <v>D-RNGA</v>
          </cell>
          <cell r="E132">
            <v>47.18027407438391</v>
          </cell>
          <cell r="F132">
            <v>48.283001000412739</v>
          </cell>
          <cell r="G132">
            <v>48.547458487101103</v>
          </cell>
          <cell r="H132">
            <v>46.201861174665432</v>
          </cell>
          <cell r="I132">
            <v>45.574726618915797</v>
          </cell>
          <cell r="J132">
            <v>37.623912432609345</v>
          </cell>
        </row>
        <row r="133">
          <cell r="A133" t="str">
            <v>CWOD</v>
          </cell>
          <cell r="B133" t="str">
            <v>VAR_fout</v>
          </cell>
          <cell r="C133" t="str">
            <v>D-CWOD</v>
          </cell>
          <cell r="E133">
            <v>9.4239031363625703</v>
          </cell>
          <cell r="F133">
            <v>10.113258034856543</v>
          </cell>
          <cell r="G133">
            <v>6.3596558932007339</v>
          </cell>
          <cell r="H133">
            <v>3.5166270270513769</v>
          </cell>
          <cell r="I133">
            <v>4.6289013959957961</v>
          </cell>
          <cell r="J133">
            <v>5.4807138861792746</v>
          </cell>
        </row>
        <row r="134">
          <cell r="A134" t="str">
            <v>CWOD</v>
          </cell>
          <cell r="B134" t="str">
            <v>VAR_fin</v>
          </cell>
          <cell r="C134" t="str">
            <v>SUP_WODH2</v>
          </cell>
          <cell r="J134">
            <v>6.0312266559523116E-4</v>
          </cell>
        </row>
        <row r="135">
          <cell r="A135" t="str">
            <v>CWOD</v>
          </cell>
          <cell r="B135" t="str">
            <v>VAR_fin</v>
          </cell>
          <cell r="C135" t="str">
            <v>SUP_WODBIO</v>
          </cell>
          <cell r="F135">
            <v>7.42358073356601E-5</v>
          </cell>
          <cell r="G135">
            <v>1.9458528461582878E-4</v>
          </cell>
          <cell r="H135">
            <v>3.0392368517019705E-4</v>
          </cell>
          <cell r="I135">
            <v>3.8482513994178059E-4</v>
          </cell>
          <cell r="J135">
            <v>3.8112358691066886E-4</v>
          </cell>
        </row>
        <row r="136">
          <cell r="A136" t="str">
            <v>CWOD</v>
          </cell>
          <cell r="B136" t="str">
            <v>VAR_fin</v>
          </cell>
          <cell r="C136" t="str">
            <v>CT_CWODBDS</v>
          </cell>
          <cell r="E136">
            <v>1.9046430067093427</v>
          </cell>
          <cell r="F136">
            <v>1.8158834022788468</v>
          </cell>
          <cell r="G136">
            <v>3.4295308573137615</v>
          </cell>
          <cell r="H136">
            <v>4.0360375936582054E-4</v>
          </cell>
          <cell r="I136">
            <v>3.1775386582732584E-4</v>
          </cell>
          <cell r="J136">
            <v>2.0277644496406738E-4</v>
          </cell>
        </row>
        <row r="137">
          <cell r="A137" t="str">
            <v>CWOD</v>
          </cell>
          <cell r="B137" t="str">
            <v>VAR_fin</v>
          </cell>
          <cell r="C137" t="str">
            <v>CT_CWODPLT</v>
          </cell>
          <cell r="E137">
            <v>7.1186851991387865</v>
          </cell>
          <cell r="F137">
            <v>8.2972380249585687</v>
          </cell>
          <cell r="G137">
            <v>2.4976338643640581</v>
          </cell>
          <cell r="H137">
            <v>3.515778351392477</v>
          </cell>
          <cell r="I137">
            <v>4.6280594178027918</v>
          </cell>
          <cell r="J137">
            <v>5.4794511575689686</v>
          </cell>
        </row>
        <row r="138">
          <cell r="A138" t="str">
            <v>CWOD</v>
          </cell>
          <cell r="B138" t="str">
            <v>VAR_fin</v>
          </cell>
          <cell r="C138" t="str">
            <v>CT_CWODETH</v>
          </cell>
          <cell r="E138">
            <v>0.40057493051444665</v>
          </cell>
          <cell r="F138">
            <v>6.2371811785841879E-5</v>
          </cell>
          <cell r="G138">
            <v>0.43229658623829514</v>
          </cell>
          <cell r="H138">
            <v>1.4114821436003944E-4</v>
          </cell>
          <cell r="I138">
            <v>1.3939918723354045E-4</v>
          </cell>
          <cell r="J138">
            <v>7.5705912828944873E-5</v>
          </cell>
        </row>
        <row r="139">
          <cell r="A139" t="str">
            <v>BDS</v>
          </cell>
          <cell r="B139" t="str">
            <v>VAR_fout</v>
          </cell>
          <cell r="C139" t="str">
            <v>IMPBDS</v>
          </cell>
          <cell r="E139">
            <v>2.3490128866760491</v>
          </cell>
          <cell r="F139">
            <v>2.3780130869690796</v>
          </cell>
          <cell r="G139">
            <v>3.3165252229331328</v>
          </cell>
          <cell r="H139">
            <v>3.5496842582430452</v>
          </cell>
          <cell r="I139">
            <v>4.3687768676600065</v>
          </cell>
          <cell r="J139">
            <v>4.3684513563141829</v>
          </cell>
        </row>
        <row r="140">
          <cell r="A140" t="str">
            <v>BDS</v>
          </cell>
          <cell r="B140" t="str">
            <v>VAR_fout</v>
          </cell>
          <cell r="C140" t="str">
            <v>CT_CWODBDS</v>
          </cell>
          <cell r="E140">
            <v>0.66841305727648392</v>
          </cell>
          <cell r="F140">
            <v>0.63726387165427201</v>
          </cell>
          <cell r="G140">
            <v>1.2035553105154455</v>
          </cell>
          <cell r="H140">
            <v>1.4164020332192349E-4</v>
          </cell>
          <cell r="I140">
            <v>1.1151214803555921E-4</v>
          </cell>
          <cell r="J140">
            <v>7.1162114393426095E-5</v>
          </cell>
        </row>
        <row r="141">
          <cell r="A141" t="str">
            <v>BDS</v>
          </cell>
          <cell r="B141" t="str">
            <v>VAR_fin</v>
          </cell>
          <cell r="C141" t="str">
            <v>D-ILFO</v>
          </cell>
          <cell r="G141">
            <v>8.4304017466584641E-5</v>
          </cell>
          <cell r="H141">
            <v>0.16135403144662575</v>
          </cell>
          <cell r="I141">
            <v>1.3523270833691945</v>
          </cell>
          <cell r="J141">
            <v>1.352345985192497</v>
          </cell>
        </row>
        <row r="142">
          <cell r="A142" t="str">
            <v>BDS</v>
          </cell>
          <cell r="B142" t="str">
            <v>VAR_fin</v>
          </cell>
          <cell r="C142" t="str">
            <v>D-SLFO</v>
          </cell>
          <cell r="G142">
            <v>6.413338273930446E-5</v>
          </cell>
          <cell r="H142">
            <v>1.8449377675991619E-4</v>
          </cell>
          <cell r="I142">
            <v>2.0779051438613076E-4</v>
          </cell>
          <cell r="J142">
            <v>1.4277076309363956E-4</v>
          </cell>
        </row>
        <row r="143">
          <cell r="A143" t="str">
            <v>BDS</v>
          </cell>
          <cell r="B143" t="str">
            <v>VAR_fin</v>
          </cell>
          <cell r="C143" t="str">
            <v>D-RLFO</v>
          </cell>
          <cell r="G143">
            <v>6.4388040547881656E-5</v>
          </cell>
          <cell r="H143">
            <v>1.8829718203029885E-4</v>
          </cell>
          <cell r="I143">
            <v>2.1063012316219464E-4</v>
          </cell>
          <cell r="J143">
            <v>1.4323210623274775E-4</v>
          </cell>
        </row>
        <row r="144">
          <cell r="A144" t="str">
            <v>BDS</v>
          </cell>
          <cell r="B144" t="str">
            <v>VAR_fin</v>
          </cell>
          <cell r="C144" t="str">
            <v>D-TBDS1</v>
          </cell>
          <cell r="E144">
            <v>3.0174259439525333</v>
          </cell>
          <cell r="F144">
            <v>3.0152769586233528</v>
          </cell>
          <cell r="G144">
            <v>4.5198793073294299</v>
          </cell>
          <cell r="H144">
            <v>3.3881025372621503</v>
          </cell>
          <cell r="I144">
            <v>3.0161472445497437</v>
          </cell>
          <cell r="J144">
            <v>3.0158926235696915</v>
          </cell>
        </row>
        <row r="145">
          <cell r="A145" t="str">
            <v>BIO</v>
          </cell>
          <cell r="B145" t="str">
            <v>VAR_fout</v>
          </cell>
          <cell r="C145" t="str">
            <v>SUP_WSTHTGBIO</v>
          </cell>
          <cell r="I145">
            <v>3.5316454535377917E-4</v>
          </cell>
          <cell r="J145">
            <v>3.9066457177171476E-4</v>
          </cell>
        </row>
        <row r="146">
          <cell r="A146" t="str">
            <v>BIO</v>
          </cell>
          <cell r="B146" t="str">
            <v>VAR_fout</v>
          </cell>
          <cell r="C146" t="str">
            <v>SUP_WSTBIO</v>
          </cell>
          <cell r="E146">
            <v>5.6294174918516209</v>
          </cell>
          <cell r="F146">
            <v>6.2378429241645739</v>
          </cell>
          <cell r="G146">
            <v>6.0286683864379818</v>
          </cell>
          <cell r="H146">
            <v>6.218372341083942</v>
          </cell>
          <cell r="I146">
            <v>6.0503244382023569</v>
          </cell>
          <cell r="J146">
            <v>8.6693548022071347</v>
          </cell>
        </row>
        <row r="147">
          <cell r="A147" t="str">
            <v>BIO</v>
          </cell>
          <cell r="B147" t="str">
            <v>VAR_fout</v>
          </cell>
          <cell r="C147" t="str">
            <v>D-LBIO</v>
          </cell>
          <cell r="H147">
            <v>2.134764583442661</v>
          </cell>
          <cell r="I147">
            <v>2.1348527157798936</v>
          </cell>
          <cell r="J147">
            <v>2.1351830061197736</v>
          </cell>
        </row>
        <row r="148">
          <cell r="A148" t="str">
            <v>BIO</v>
          </cell>
          <cell r="B148" t="str">
            <v>VAR_fout</v>
          </cell>
          <cell r="C148" t="str">
            <v>SUP_MNRBIO</v>
          </cell>
          <cell r="E148">
            <v>1.3280091174643331</v>
          </cell>
          <cell r="F148">
            <v>3.7440522589622196</v>
          </cell>
          <cell r="G148">
            <v>4.384649977747646</v>
          </cell>
          <cell r="H148">
            <v>4.3847645814473006</v>
          </cell>
          <cell r="I148">
            <v>5.1131911574657574</v>
          </cell>
          <cell r="J148">
            <v>6.5773818727606699</v>
          </cell>
        </row>
        <row r="149">
          <cell r="A149" t="str">
            <v>BIO</v>
          </cell>
          <cell r="B149" t="str">
            <v>VAR_fout</v>
          </cell>
          <cell r="C149" t="str">
            <v>SUP_WODBIO</v>
          </cell>
          <cell r="F149">
            <v>5.4989486915303783E-5</v>
          </cell>
          <cell r="G149">
            <v>1.441372478635769E-4</v>
          </cell>
          <cell r="H149">
            <v>2.2512865568162746E-4</v>
          </cell>
          <cell r="I149">
            <v>2.8505565921613376E-4</v>
          </cell>
          <cell r="J149">
            <v>2.8231376808197635E-4</v>
          </cell>
        </row>
        <row r="150">
          <cell r="A150" t="str">
            <v>BIO</v>
          </cell>
          <cell r="B150" t="str">
            <v>VAR_fin</v>
          </cell>
          <cell r="C150" t="str">
            <v>D-IBIO</v>
          </cell>
          <cell r="E150">
            <v>0.43676157628678225</v>
          </cell>
          <cell r="F150">
            <v>0.55207409248493622</v>
          </cell>
          <cell r="G150">
            <v>2.7098498926148737</v>
          </cell>
          <cell r="H150">
            <v>5.5619447395981858</v>
          </cell>
          <cell r="I150">
            <v>6.4187004309308904</v>
          </cell>
          <cell r="J150">
            <v>11.140836746794079</v>
          </cell>
        </row>
        <row r="151">
          <cell r="A151" t="str">
            <v>BIO</v>
          </cell>
          <cell r="B151" t="str">
            <v>VAR_fin</v>
          </cell>
          <cell r="C151" t="str">
            <v>D-EBIO</v>
          </cell>
          <cell r="E151">
            <v>1.1839665703967057</v>
          </cell>
          <cell r="F151">
            <v>1.1839569486079131</v>
          </cell>
          <cell r="G151">
            <v>1.1839595869334933</v>
          </cell>
          <cell r="H151">
            <v>1.1839539067264768</v>
          </cell>
          <cell r="I151">
            <v>1.1839592016358964</v>
          </cell>
          <cell r="J151">
            <v>1.183962554227467</v>
          </cell>
        </row>
        <row r="152">
          <cell r="A152" t="str">
            <v>BIO</v>
          </cell>
          <cell r="B152" t="str">
            <v>VAR_fin</v>
          </cell>
          <cell r="C152" t="str">
            <v>D-CBIO</v>
          </cell>
          <cell r="E152">
            <v>1.2890788461961467</v>
          </cell>
          <cell r="F152">
            <v>4.1790548556566387</v>
          </cell>
          <cell r="G152">
            <v>3.4771477121627368</v>
          </cell>
          <cell r="H152">
            <v>3.47701462449391</v>
          </cell>
          <cell r="I152">
            <v>3.4756688880352873</v>
          </cell>
          <cell r="J152">
            <v>3.4767843279060227</v>
          </cell>
        </row>
        <row r="153">
          <cell r="A153" t="str">
            <v>BIO</v>
          </cell>
          <cell r="B153" t="str">
            <v>VAR_fin</v>
          </cell>
          <cell r="C153" t="str">
            <v>D-SBIO</v>
          </cell>
          <cell r="E153">
            <v>4.0476936330609803</v>
          </cell>
          <cell r="F153">
            <v>4.5833927610403133</v>
          </cell>
          <cell r="G153">
            <v>3.0429674361159353</v>
          </cell>
          <cell r="H153">
            <v>3.0323172320813758</v>
          </cell>
          <cell r="I153">
            <v>2.9499449547139158</v>
          </cell>
          <cell r="J153">
            <v>2.8714667610033597</v>
          </cell>
        </row>
        <row r="154">
          <cell r="A154" t="str">
            <v>TKERintl_SAF</v>
          </cell>
          <cell r="B154" t="str">
            <v>VAR_fout</v>
          </cell>
          <cell r="C154" t="str">
            <v>D-TBDS1intl</v>
          </cell>
          <cell r="H154">
            <v>5.0409130398989399</v>
          </cell>
          <cell r="I154">
            <v>5.2173256899809699</v>
          </cell>
          <cell r="J154">
            <v>5.2173259677912398</v>
          </cell>
        </row>
        <row r="155">
          <cell r="A155" t="str">
            <v>EBIO</v>
          </cell>
          <cell r="B155" t="str">
            <v>VAR_fout</v>
          </cell>
          <cell r="C155" t="str">
            <v>D-EBIO</v>
          </cell>
          <cell r="E155">
            <v>1.1839665703967057</v>
          </cell>
          <cell r="F155">
            <v>1.1839569486079131</v>
          </cell>
          <cell r="G155">
            <v>1.1839595869334933</v>
          </cell>
          <cell r="H155">
            <v>1.1839539067264768</v>
          </cell>
          <cell r="I155">
            <v>1.1839592016358964</v>
          </cell>
          <cell r="J155">
            <v>1.183962554227467</v>
          </cell>
        </row>
        <row r="156">
          <cell r="A156" t="str">
            <v>PLT</v>
          </cell>
          <cell r="B156" t="str">
            <v>VAR_fout</v>
          </cell>
          <cell r="C156" t="str">
            <v>CT_CWODPLT</v>
          </cell>
          <cell r="E156">
            <v>5.9796955672765764</v>
          </cell>
          <cell r="F156">
            <v>6.9696799409652002</v>
          </cell>
          <cell r="G156">
            <v>2.0980124460658089</v>
          </cell>
          <cell r="H156">
            <v>2.953253815169679</v>
          </cell>
          <cell r="I156">
            <v>3.8875699109543489</v>
          </cell>
          <cell r="J156">
            <v>4.6027389723579359</v>
          </cell>
        </row>
        <row r="157">
          <cell r="A157" t="str">
            <v>SLFO</v>
          </cell>
          <cell r="B157" t="str">
            <v>VAR_fout</v>
          </cell>
          <cell r="C157" t="str">
            <v>D-SLFO</v>
          </cell>
          <cell r="E157">
            <v>30.256634448509324</v>
          </cell>
          <cell r="F157">
            <v>26.525164356439156</v>
          </cell>
          <cell r="G157">
            <v>26.49623702374738</v>
          </cell>
          <cell r="H157">
            <v>19.190922916305198</v>
          </cell>
          <cell r="I157">
            <v>12.019388751947385</v>
          </cell>
          <cell r="J157">
            <v>5.1942290398926581</v>
          </cell>
        </row>
        <row r="158">
          <cell r="A158" t="str">
            <v>ETH</v>
          </cell>
          <cell r="B158" t="str">
            <v>VAR_fout</v>
          </cell>
          <cell r="C158" t="str">
            <v>IMPETH</v>
          </cell>
          <cell r="E158">
            <v>4.4341527830967298</v>
          </cell>
          <cell r="F158">
            <v>4.3966184206712287</v>
          </cell>
          <cell r="G158">
            <v>3.9743264076413043</v>
          </cell>
          <cell r="H158">
            <v>3.2245000683339358</v>
          </cell>
          <cell r="I158">
            <v>2.1932164493794124</v>
          </cell>
          <cell r="J158">
            <v>1.63237636576433</v>
          </cell>
        </row>
        <row r="159">
          <cell r="A159" t="str">
            <v>ETH</v>
          </cell>
          <cell r="B159" t="str">
            <v>VAR_fout</v>
          </cell>
          <cell r="C159" t="str">
            <v>CT_CWODETH</v>
          </cell>
          <cell r="E159">
            <v>0.1916626461791609</v>
          </cell>
          <cell r="F159">
            <v>2.9842972146335857E-5</v>
          </cell>
          <cell r="G159">
            <v>0.20684047188435184</v>
          </cell>
          <cell r="H159">
            <v>6.7535030794277281E-5</v>
          </cell>
          <cell r="I159">
            <v>6.6698175709827958E-5</v>
          </cell>
          <cell r="J159">
            <v>3.6222924798538225E-5</v>
          </cell>
        </row>
        <row r="160">
          <cell r="A160" t="str">
            <v>ETH</v>
          </cell>
          <cell r="B160" t="str">
            <v>VAR_fin</v>
          </cell>
          <cell r="C160" t="str">
            <v>D-TGSL</v>
          </cell>
          <cell r="E160">
            <v>4.6258154292758906</v>
          </cell>
          <cell r="F160">
            <v>4.3966482636433781</v>
          </cell>
          <cell r="G160">
            <v>4.1811668795256534</v>
          </cell>
          <cell r="H160">
            <v>3.2245676033647275</v>
          </cell>
          <cell r="I160">
            <v>2.1932831475551224</v>
          </cell>
          <cell r="J160">
            <v>1.6324125886891292</v>
          </cell>
        </row>
        <row r="161">
          <cell r="A161" t="str">
            <v>TGSL</v>
          </cell>
          <cell r="B161" t="str">
            <v>VAR_fout</v>
          </cell>
          <cell r="C161" t="str">
            <v>D-TGSL</v>
          </cell>
          <cell r="E161">
            <v>83.261901033120608</v>
          </cell>
          <cell r="F161">
            <v>79.131374719387992</v>
          </cell>
          <cell r="G161">
            <v>75.258310103809208</v>
          </cell>
          <cell r="H161">
            <v>58.008431756722395</v>
          </cell>
          <cell r="I161">
            <v>39.468387157379645</v>
          </cell>
          <cell r="J161">
            <v>29.373781163895369</v>
          </cell>
        </row>
        <row r="162">
          <cell r="A162" t="str">
            <v>RLFO</v>
          </cell>
          <cell r="B162" t="str">
            <v>VAR_fout</v>
          </cell>
          <cell r="C162" t="str">
            <v>D-RLFO</v>
          </cell>
          <cell r="E162">
            <v>60.231879074642158</v>
          </cell>
          <cell r="F162">
            <v>51.320047944755281</v>
          </cell>
          <cell r="G162">
            <v>49.881954877240332</v>
          </cell>
          <cell r="H162">
            <v>32.475880601332904</v>
          </cell>
          <cell r="I162">
            <v>17.226149373779666</v>
          </cell>
          <cell r="J162">
            <v>5.7031604264555122</v>
          </cell>
        </row>
        <row r="163">
          <cell r="A163" t="str">
            <v>CELC_E</v>
          </cell>
          <cell r="B163" t="str">
            <v>VAR_fout</v>
          </cell>
          <cell r="C163" t="str">
            <v>ESOL-PV_E</v>
          </cell>
          <cell r="H163">
            <v>2.1463912305392585E-6</v>
          </cell>
          <cell r="I163">
            <v>1.5120792173265003E-3</v>
          </cell>
          <cell r="J163">
            <v>1.8039726777259865E-3</v>
          </cell>
        </row>
        <row r="164">
          <cell r="A164" t="str">
            <v>CELC_E</v>
          </cell>
          <cell r="B164" t="str">
            <v>VAR_fin</v>
          </cell>
          <cell r="C164" t="str">
            <v>SUP_ELCH2_D</v>
          </cell>
          <cell r="H164">
            <v>1.8105048750941577E-6</v>
          </cell>
          <cell r="I164">
            <v>1.5120792173265003E-3</v>
          </cell>
          <cell r="J164">
            <v>1.8039726777259865E-3</v>
          </cell>
        </row>
        <row r="165">
          <cell r="A165" t="str">
            <v>CBIO</v>
          </cell>
          <cell r="B165" t="str">
            <v>VAR_fout</v>
          </cell>
          <cell r="C165" t="str">
            <v>D-CBIO</v>
          </cell>
          <cell r="E165">
            <v>1.2890788461961467</v>
          </cell>
          <cell r="F165">
            <v>4.1790548556566387</v>
          </cell>
          <cell r="G165">
            <v>3.4771477121627368</v>
          </cell>
          <cell r="H165">
            <v>3.47701462449391</v>
          </cell>
          <cell r="I165">
            <v>3.4756688880352873</v>
          </cell>
          <cell r="J165">
            <v>3.4767843279060227</v>
          </cell>
        </row>
        <row r="166">
          <cell r="A166" t="str">
            <v>CBIO</v>
          </cell>
          <cell r="B166" t="str">
            <v>VAR_fin</v>
          </cell>
          <cell r="C166" t="str">
            <v>SUP_BIONGA</v>
          </cell>
          <cell r="E166">
            <v>1.2890788461961467</v>
          </cell>
          <cell r="F166">
            <v>4.1790548556566387</v>
          </cell>
          <cell r="G166">
            <v>3.4771477121627368</v>
          </cell>
          <cell r="H166">
            <v>3.47701462449391</v>
          </cell>
          <cell r="I166">
            <v>3.4756688880352873</v>
          </cell>
          <cell r="J166">
            <v>3.4767843279060227</v>
          </cell>
        </row>
        <row r="167">
          <cell r="A167" t="str">
            <v>LTH</v>
          </cell>
          <cell r="B167" t="str">
            <v>VAR_fout</v>
          </cell>
          <cell r="C167" t="str">
            <v>SUP_WODBIO</v>
          </cell>
          <cell r="F167">
            <v>6.5987384298364531E-6</v>
          </cell>
          <cell r="G167">
            <v>1.7296469743629243E-5</v>
          </cell>
          <cell r="H167">
            <v>2.7015438681795304E-5</v>
          </cell>
          <cell r="I167">
            <v>3.4206679105936034E-5</v>
          </cell>
          <cell r="J167">
            <v>3.3877652169837199E-5</v>
          </cell>
        </row>
        <row r="168">
          <cell r="A168" t="str">
            <v>LTH</v>
          </cell>
          <cell r="B168" t="str">
            <v>VAR_fout</v>
          </cell>
          <cell r="C168" t="str">
            <v>CT_CWODBDS</v>
          </cell>
          <cell r="E168">
            <v>0.26068109233782877</v>
          </cell>
          <cell r="F168">
            <v>0.248532909945166</v>
          </cell>
          <cell r="G168">
            <v>0.46938657110102389</v>
          </cell>
          <cell r="H168">
            <v>5.5239679295550071E-5</v>
          </cell>
          <cell r="I168">
            <v>4.3489737733867983E-5</v>
          </cell>
          <cell r="J168">
            <v>2.7753224613436137E-5</v>
          </cell>
        </row>
        <row r="169">
          <cell r="A169" t="str">
            <v>LTH</v>
          </cell>
          <cell r="B169" t="str">
            <v>VAR_fin</v>
          </cell>
          <cell r="C169" t="str">
            <v>D-CHEAT</v>
          </cell>
          <cell r="I169">
            <v>8.6709481331812162E-5</v>
          </cell>
          <cell r="J169">
            <v>5.878717751326125E-5</v>
          </cell>
        </row>
        <row r="170">
          <cell r="A170" t="str">
            <v>LNGA</v>
          </cell>
          <cell r="B170" t="str">
            <v>VAR_fin</v>
          </cell>
          <cell r="C170" t="str">
            <v>D-LNGA</v>
          </cell>
          <cell r="H170">
            <v>6.3618322069316233E-4</v>
          </cell>
          <cell r="I170">
            <v>4.9343728646325644E-4</v>
          </cell>
          <cell r="J170">
            <v>2.8395802958704799E-4</v>
          </cell>
        </row>
        <row r="171">
          <cell r="A171" t="str">
            <v>IH2</v>
          </cell>
          <cell r="B171" t="str">
            <v>VAR_fout</v>
          </cell>
          <cell r="C171" t="str">
            <v>D-INGA</v>
          </cell>
          <cell r="H171">
            <v>2.0406037286472788E-2</v>
          </cell>
          <cell r="I171">
            <v>0.16457928006302489</v>
          </cell>
          <cell r="J171">
            <v>0.12903705357638753</v>
          </cell>
        </row>
        <row r="172">
          <cell r="A172" t="str">
            <v>WHEAT</v>
          </cell>
          <cell r="B172" t="str">
            <v>VAR_fin</v>
          </cell>
          <cell r="C172" t="str">
            <v>D-CHEAT</v>
          </cell>
          <cell r="I172">
            <v>2.9129597758677321E-4</v>
          </cell>
          <cell r="J172">
            <v>2.0205182185977145E-4</v>
          </cell>
        </row>
        <row r="173">
          <cell r="A173" t="str">
            <v>SOL</v>
          </cell>
          <cell r="B173" t="str">
            <v>VAR_fin</v>
          </cell>
          <cell r="C173" t="str">
            <v>ESOL-PV_E</v>
          </cell>
          <cell r="H173">
            <v>2.1463912305392585E-6</v>
          </cell>
          <cell r="I173">
            <v>1.5120792173265003E-3</v>
          </cell>
          <cell r="J173">
            <v>1.8039726777259865E-3</v>
          </cell>
        </row>
        <row r="174">
          <cell r="A174" t="str">
            <v>TKER</v>
          </cell>
          <cell r="B174" t="str">
            <v>VAR_fout</v>
          </cell>
          <cell r="C174" t="str">
            <v>D-TBDS1</v>
          </cell>
          <cell r="E174">
            <v>1.08450082374036E-3</v>
          </cell>
          <cell r="F174">
            <v>1.8850124039495899E-5</v>
          </cell>
          <cell r="G174">
            <v>1.2845282457117501E-3</v>
          </cell>
          <cell r="H174">
            <v>2.39939788077006E-2</v>
          </cell>
          <cell r="I174">
            <v>0.98099788599827398</v>
          </cell>
          <cell r="J174">
            <v>0.94671876368102104</v>
          </cell>
        </row>
        <row r="175">
          <cell r="A175" t="str">
            <v>BDS1</v>
          </cell>
          <cell r="B175" t="str">
            <v>VAR_fout</v>
          </cell>
          <cell r="C175" t="str">
            <v>IMPBDS1</v>
          </cell>
          <cell r="H175">
            <v>5.0409130398989399</v>
          </cell>
          <cell r="I175">
            <v>5.2173256899809699</v>
          </cell>
          <cell r="J175">
            <v>5.2173259677912398</v>
          </cell>
        </row>
        <row r="176">
          <cell r="A176" t="str">
            <v>BDS1</v>
          </cell>
          <cell r="B176" t="str">
            <v>VAR_fin</v>
          </cell>
          <cell r="C176" t="str">
            <v>D-TBDS1intl</v>
          </cell>
          <cell r="H176">
            <v>5.0409130398989399</v>
          </cell>
          <cell r="I176">
            <v>5.2173256899809699</v>
          </cell>
          <cell r="J176">
            <v>5.2173259677912398</v>
          </cell>
        </row>
        <row r="177">
          <cell r="A177" t="str">
            <v>CELC</v>
          </cell>
          <cell r="B177" t="str">
            <v>VAR_fout</v>
          </cell>
          <cell r="C177" t="str">
            <v>D-CELC</v>
          </cell>
          <cell r="E177">
            <v>0.36564370596558887</v>
          </cell>
          <cell r="F177">
            <v>5.1510948419166189E-2</v>
          </cell>
          <cell r="G177">
            <v>0.4344213698387564</v>
          </cell>
          <cell r="H177">
            <v>3.3786994772826325E-2</v>
          </cell>
          <cell r="I177">
            <v>0.26592671278165336</v>
          </cell>
          <cell r="J177">
            <v>0.25109488468005797</v>
          </cell>
        </row>
        <row r="178">
          <cell r="A178" t="str">
            <v>CELC</v>
          </cell>
          <cell r="B178" t="str">
            <v>VAR_fin</v>
          </cell>
          <cell r="C178" t="str">
            <v>SUP_ELCH2_SOEC</v>
          </cell>
          <cell r="I178">
            <v>2.4568283071599731E-3</v>
          </cell>
          <cell r="J178">
            <v>2.2819526064060988E-3</v>
          </cell>
        </row>
        <row r="179">
          <cell r="A179" t="str">
            <v>CELC</v>
          </cell>
          <cell r="B179" t="str">
            <v>VAR_fin</v>
          </cell>
          <cell r="C179" t="str">
            <v>SUP_ELCH2</v>
          </cell>
          <cell r="E179">
            <v>4.8622587510492189E-3</v>
          </cell>
          <cell r="F179">
            <v>7.1721668648743265E-3</v>
          </cell>
          <cell r="G179">
            <v>1.1555901867595959E-2</v>
          </cell>
          <cell r="H179">
            <v>3.3666393328192858E-2</v>
          </cell>
          <cell r="I179">
            <v>0.26335274937204151</v>
          </cell>
          <cell r="J179">
            <v>0.24874858071003189</v>
          </cell>
        </row>
        <row r="180">
          <cell r="A180" t="str">
            <v>CELC</v>
          </cell>
          <cell r="B180" t="str">
            <v>VAR_fin</v>
          </cell>
          <cell r="C180" t="str">
            <v>CT_CWODBDS</v>
          </cell>
          <cell r="E180">
            <v>4.6454707480715646E-2</v>
          </cell>
          <cell r="F180">
            <v>4.4289839079971915E-2</v>
          </cell>
          <cell r="G180">
            <v>8.3647094080823464E-2</v>
          </cell>
          <cell r="H180">
            <v>9.8439941308736829E-6</v>
          </cell>
          <cell r="I180">
            <v>7.7500942884713638E-6</v>
          </cell>
          <cell r="J180">
            <v>4.9457669503431126E-6</v>
          </cell>
        </row>
        <row r="181">
          <cell r="A181" t="str">
            <v>CELC</v>
          </cell>
          <cell r="B181" t="str">
            <v>VAR_fin</v>
          </cell>
          <cell r="C181" t="str">
            <v>CT_CWODETH</v>
          </cell>
          <cell r="E181">
            <v>0.31432673973382375</v>
          </cell>
          <cell r="F181">
            <v>4.8942474319990782E-5</v>
          </cell>
          <cell r="G181">
            <v>0.33921837389033732</v>
          </cell>
          <cell r="H181">
            <v>1.1075745050261473E-4</v>
          </cell>
          <cell r="I181">
            <v>1.0938500816411787E-4</v>
          </cell>
          <cell r="J181">
            <v>5.9405596669602694E-5</v>
          </cell>
        </row>
        <row r="182">
          <cell r="A182" t="str">
            <v>SBIO</v>
          </cell>
          <cell r="B182" t="str">
            <v>VAR_fout</v>
          </cell>
          <cell r="C182" t="str">
            <v>D-SBIO</v>
          </cell>
          <cell r="E182">
            <v>4.0476936330609803</v>
          </cell>
          <cell r="F182">
            <v>4.5833927610403133</v>
          </cell>
          <cell r="G182">
            <v>3.0429674361159353</v>
          </cell>
          <cell r="H182">
            <v>3.0323172320813758</v>
          </cell>
          <cell r="I182">
            <v>2.9499449547139158</v>
          </cell>
          <cell r="J182">
            <v>2.8714667610033597</v>
          </cell>
        </row>
        <row r="183">
          <cell r="A183" t="str">
            <v>INGA</v>
          </cell>
          <cell r="B183" t="str">
            <v>VAR_fout</v>
          </cell>
          <cell r="C183" t="str">
            <v>D-INGA</v>
          </cell>
          <cell r="E183">
            <v>37.473517315294444</v>
          </cell>
          <cell r="F183">
            <v>30.046591256912151</v>
          </cell>
          <cell r="G183">
            <v>33.704913816987265</v>
          </cell>
          <cell r="H183">
            <v>32.125696162048008</v>
          </cell>
          <cell r="I183">
            <v>27.847388830166523</v>
          </cell>
          <cell r="J183">
            <v>21.215435552027344</v>
          </cell>
        </row>
        <row r="184">
          <cell r="A184" t="str">
            <v>WSTREN</v>
          </cell>
          <cell r="B184" t="str">
            <v>VAR_fin</v>
          </cell>
          <cell r="C184" t="str">
            <v>D-CWST</v>
          </cell>
          <cell r="E184">
            <v>9.6793812759894422</v>
          </cell>
          <cell r="F184">
            <v>10.725525347892107</v>
          </cell>
          <cell r="G184">
            <v>10.365864671309646</v>
          </cell>
          <cell r="H184">
            <v>10.692047071040907</v>
          </cell>
          <cell r="I184">
            <v>10.403579084917755</v>
          </cell>
          <cell r="J184">
            <v>14.906870078638926</v>
          </cell>
        </row>
        <row r="185">
          <cell r="A185" t="str">
            <v>SOLPVC</v>
          </cell>
          <cell r="B185" t="str">
            <v>VAR_fin</v>
          </cell>
          <cell r="C185" t="str">
            <v>ESOL-PV_E</v>
          </cell>
          <cell r="H185">
            <v>2.1463912305392602E-6</v>
          </cell>
          <cell r="I185">
            <v>1.5120792173265001E-3</v>
          </cell>
          <cell r="J185">
            <v>1.80397267772599E-3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2040</v>
          </cell>
          <cell r="I3" t="str">
            <v>2050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1.7820504374352598E-2</v>
          </cell>
          <cell r="E4">
            <v>1.7903998578971701E-2</v>
          </cell>
          <cell r="F4">
            <v>1.78429389222808E-2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4.4136336131839577E-3</v>
          </cell>
          <cell r="E5">
            <v>3.5512759194559736E-3</v>
          </cell>
          <cell r="F5">
            <v>2.2191266677810987E-3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3.1596638961618121E-4</v>
          </cell>
          <cell r="E6">
            <v>3.1744678331510032E-4</v>
          </cell>
          <cell r="F6">
            <v>3.1636416528866743E-4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8.3575401730531503E-5</v>
          </cell>
          <cell r="E7">
            <v>6.6860321384425197E-5</v>
          </cell>
          <cell r="F7">
            <v>4.1787700865265806E-5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3.5062985496896841</v>
          </cell>
          <cell r="E8">
            <v>0.18714359498400235</v>
          </cell>
          <cell r="F8">
            <v>0.24679167681265632</v>
          </cell>
          <cell r="G8">
            <v>0.23841073106952393</v>
          </cell>
          <cell r="H8">
            <v>0.21536283142461049</v>
          </cell>
          <cell r="I8">
            <v>0.20214455617461491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6.4172508310005958E-3</v>
          </cell>
          <cell r="E9">
            <v>3.4403838018181535E-4</v>
          </cell>
          <cell r="F9">
            <v>4.5528179011094274E-4</v>
          </cell>
          <cell r="G9">
            <v>4.6396835062808845E-4</v>
          </cell>
          <cell r="H9">
            <v>4.5202461204072001E-4</v>
          </cell>
          <cell r="I9">
            <v>4.6138327915263151E-4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6.2168414001590233E-2</v>
          </cell>
          <cell r="E10">
            <v>3.3181488472340806E-3</v>
          </cell>
          <cell r="F10">
            <v>4.3757389505790171E-3</v>
          </cell>
          <cell r="G10">
            <v>4.2271406218000757E-3</v>
          </cell>
          <cell r="H10">
            <v>3.818489918876069E-3</v>
          </cell>
          <cell r="I10">
            <v>3.5841233364293408E-3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4.0004806418885998E-7</v>
          </cell>
          <cell r="F11">
            <v>8.0179869294033999E-7</v>
          </cell>
          <cell r="G11">
            <v>6.6069338207762698E-6</v>
          </cell>
          <cell r="H11">
            <v>4.0118773768547797E-6</v>
          </cell>
          <cell r="I11">
            <v>8.2134751594725804E-6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1.2153669716649219E-4</v>
          </cell>
          <cell r="E12">
            <v>8.8381629074448843E-6</v>
          </cell>
          <cell r="F12">
            <v>8.8576373322978041E-6</v>
          </cell>
          <cell r="G12">
            <v>8.8720694619322515E-6</v>
          </cell>
          <cell r="H12">
            <v>8.9105883687803808E-6</v>
          </cell>
          <cell r="I12">
            <v>8.9175140494337294E-6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2.1336140903938355E-4</v>
          </cell>
          <cell r="E13">
            <v>6.9478448021671583E-4</v>
          </cell>
          <cell r="F13">
            <v>9.1395494560095672E-4</v>
          </cell>
          <cell r="G13">
            <v>9.3592159042327064E-4</v>
          </cell>
          <cell r="H13">
            <v>8.5530533807458905E-4</v>
          </cell>
          <cell r="I13">
            <v>5.7787021579641781E-4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2.1336140903938355E-4</v>
          </cell>
          <cell r="E14">
            <v>6.9478448021671583E-4</v>
          </cell>
          <cell r="F14">
            <v>9.1395494560095672E-4</v>
          </cell>
          <cell r="G14">
            <v>9.3592159042327064E-4</v>
          </cell>
          <cell r="H14">
            <v>8.5530533807458905E-4</v>
          </cell>
          <cell r="I14">
            <v>5.7787021579641781E-4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5.2388138701971302E-5</v>
          </cell>
          <cell r="F15">
            <v>5.6103153473504197E-5</v>
          </cell>
          <cell r="G15">
            <v>3.3118758872437299E-5</v>
          </cell>
          <cell r="H15">
            <v>5.9873728074014402E-5</v>
          </cell>
          <cell r="I15">
            <v>4.78040287999286E-5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2.5984084313400144E-5</v>
          </cell>
          <cell r="E16">
            <v>7.7551400227729894E-5</v>
          </cell>
          <cell r="F16">
            <v>1.2960534358263929E-4</v>
          </cell>
          <cell r="G16">
            <v>1.3788629130650503E-4</v>
          </cell>
          <cell r="H16">
            <v>1.2544489529064796E-4</v>
          </cell>
          <cell r="I16">
            <v>8.5912910323167216E-5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1.8489374496397798E-3</v>
          </cell>
          <cell r="E17">
            <v>4.9957662485713653E-3</v>
          </cell>
          <cell r="F17">
            <v>5.1639206235781906E-3</v>
          </cell>
          <cell r="G17">
            <v>1.6183093713287762E-3</v>
          </cell>
          <cell r="H17">
            <v>3.3645730920053412E-4</v>
          </cell>
          <cell r="I17">
            <v>1.4442344044000171E-4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6.8803365196820889E-3</v>
          </cell>
          <cell r="E18">
            <v>1.8478561419113231E-2</v>
          </cell>
          <cell r="F18">
            <v>1.9057511187598294E-2</v>
          </cell>
          <cell r="G18">
            <v>5.8917141083970085E-3</v>
          </cell>
          <cell r="H18">
            <v>1.0763338598764128E-3</v>
          </cell>
          <cell r="I18">
            <v>4.3313466449187217E-4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2.1374551017634401E-6</v>
          </cell>
          <cell r="F19">
            <v>6.0094598015911401E-6</v>
          </cell>
          <cell r="G19">
            <v>3.9490087638276202E-6</v>
          </cell>
          <cell r="H19">
            <v>4.6277515126934899E-6</v>
          </cell>
          <cell r="I19">
            <v>2.35787646485821E-6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3.5587920012770695E-5</v>
          </cell>
          <cell r="E20">
            <v>9.4289819488296739E-5</v>
          </cell>
          <cell r="F20">
            <v>9.9004212882481679E-5</v>
          </cell>
          <cell r="G20">
            <v>3.1190387277447217E-5</v>
          </cell>
          <cell r="H20">
            <v>7.3138167997710598E-6</v>
          </cell>
          <cell r="I20">
            <v>3.1699942670645801E-6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5.0666787487230094E-2</v>
          </cell>
          <cell r="E21">
            <v>9.8786093074408332E-2</v>
          </cell>
          <cell r="F21">
            <v>9.447278330186501E-2</v>
          </cell>
          <cell r="G21">
            <v>7.9013397142630185E-2</v>
          </cell>
          <cell r="H21">
            <v>2.9226203298437043E-3</v>
          </cell>
          <cell r="I21">
            <v>1.7183413921732509E-3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5.0666787487230094E-2</v>
          </cell>
          <cell r="E22">
            <v>9.8786093074408332E-2</v>
          </cell>
          <cell r="F22">
            <v>9.447278330186501E-2</v>
          </cell>
          <cell r="G22">
            <v>7.9013397142630185E-2</v>
          </cell>
          <cell r="H22">
            <v>2.9226203298437043E-3</v>
          </cell>
          <cell r="I22">
            <v>1.7183413921732509E-3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2.6890782980452601E-5</v>
          </cell>
          <cell r="F23">
            <v>9.2291345233410003E-5</v>
          </cell>
          <cell r="G23">
            <v>7.5571472166971305E-5</v>
          </cell>
          <cell r="H23">
            <v>1.2136184220387099E-4</v>
          </cell>
          <cell r="I23">
            <v>8.8503233616488706E-5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4.8853928382318135E-3</v>
          </cell>
          <cell r="E24">
            <v>7.4956655273199606E-3</v>
          </cell>
          <cell r="F24">
            <v>7.3105443457833486E-3</v>
          </cell>
          <cell r="G24">
            <v>6.0172054535073327E-3</v>
          </cell>
          <cell r="H24">
            <v>2.7845419047478685E-4</v>
          </cell>
          <cell r="I24">
            <v>1.7364331353767826E-4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10.905761816785628</v>
          </cell>
          <cell r="E25">
            <v>12.313227823238281</v>
          </cell>
          <cell r="F25">
            <v>15.67878160637555</v>
          </cell>
          <cell r="G25">
            <v>27.210346334541253</v>
          </cell>
          <cell r="H25">
            <v>42.328891111141665</v>
          </cell>
          <cell r="I25">
            <v>43.308183801641533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F26">
            <v>2.01084950698874E-5</v>
          </cell>
          <cell r="G26">
            <v>1.9457492847100801E-5</v>
          </cell>
          <cell r="H26">
            <v>0.354415863358304</v>
          </cell>
          <cell r="I26">
            <v>2.2637587018472698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3.733065667189193E-3</v>
          </cell>
          <cell r="E27">
            <v>1.4625863071148037E-3</v>
          </cell>
          <cell r="F27">
            <v>1.633465144395607E-3</v>
          </cell>
          <cell r="G27">
            <v>1.5436506106230647E-2</v>
          </cell>
          <cell r="H27">
            <v>1.0633235030010773</v>
          </cell>
          <cell r="I27">
            <v>2.2120715957666937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2.5793000356894247</v>
          </cell>
          <cell r="E28">
            <v>7.745009094474381E-2</v>
          </cell>
          <cell r="F28">
            <v>0.33952494785403153</v>
          </cell>
          <cell r="G28">
            <v>2.595702078264948</v>
          </cell>
          <cell r="H28">
            <v>11.449524486777674</v>
          </cell>
          <cell r="I28">
            <v>12.024239267961617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1.7395050475018117</v>
          </cell>
          <cell r="E29">
            <v>6.114427852736045E-2</v>
          </cell>
          <cell r="F29">
            <v>0.20492370188726158</v>
          </cell>
          <cell r="G29">
            <v>1.196125020812737</v>
          </cell>
          <cell r="H29">
            <v>4.7372328904235976</v>
          </cell>
          <cell r="I29">
            <v>5.6199515781404594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6.5832236679272009</v>
          </cell>
          <cell r="E30">
            <v>12.173192727581826</v>
          </cell>
          <cell r="F30">
            <v>15.132766023138373</v>
          </cell>
          <cell r="G30">
            <v>23.403118033620611</v>
          </cell>
          <cell r="H30">
            <v>25.433265861580054</v>
          </cell>
          <cell r="I30">
            <v>25.715713888952244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4.886457905184112E-2</v>
          </cell>
          <cell r="E31">
            <v>0.66827934079775486</v>
          </cell>
          <cell r="F31">
            <v>1.191829258881367</v>
          </cell>
          <cell r="G31">
            <v>1.3031217870806957</v>
          </cell>
          <cell r="H31">
            <v>0.91005005762907309</v>
          </cell>
          <cell r="I31">
            <v>1.77414946225949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4.886457905184112E-2</v>
          </cell>
          <cell r="E32">
            <v>0.66827934079775486</v>
          </cell>
          <cell r="F32">
            <v>1.191829258881367</v>
          </cell>
          <cell r="G32">
            <v>1.3031217870806957</v>
          </cell>
          <cell r="H32">
            <v>0.91005005762907309</v>
          </cell>
          <cell r="I32">
            <v>1.77414946225949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3.5826539103702898E-2</v>
          </cell>
          <cell r="F33">
            <v>3.9108042991050397E-2</v>
          </cell>
          <cell r="G33">
            <v>2.2148517849951501E-2</v>
          </cell>
          <cell r="H33">
            <v>1.0775598469224001E-2</v>
          </cell>
          <cell r="I33">
            <v>0.122651133871683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4.0681502111351566E-3</v>
          </cell>
          <cell r="E34">
            <v>4.5952769629525297E-2</v>
          </cell>
          <cell r="F34">
            <v>8.1967639545273224E-2</v>
          </cell>
          <cell r="G34">
            <v>8.9609425676528548E-2</v>
          </cell>
          <cell r="H34">
            <v>6.2587284590959816E-2</v>
          </cell>
          <cell r="I34">
            <v>0.12199663758044969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1.2834355548828797E-5</v>
          </cell>
          <cell r="E35">
            <v>5.1403902624376063E-4</v>
          </cell>
          <cell r="F35">
            <v>7.7242974911922394E-4</v>
          </cell>
          <cell r="G35">
            <v>8.4708334629353377E-4</v>
          </cell>
          <cell r="H35">
            <v>8.6449284228909678E-4</v>
          </cell>
          <cell r="I35">
            <v>5.8464311372666939E-4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1.2834355548828797E-5</v>
          </cell>
          <cell r="E36">
            <v>5.1403902624376063E-4</v>
          </cell>
          <cell r="F36">
            <v>7.7242974911922394E-4</v>
          </cell>
          <cell r="G36">
            <v>8.4708334629353377E-4</v>
          </cell>
          <cell r="H36">
            <v>8.6449284228909678E-4</v>
          </cell>
          <cell r="I36">
            <v>5.8464311372666939E-4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5.5830414706139098E-5</v>
          </cell>
          <cell r="F37">
            <v>5.8642046769961498E-5</v>
          </cell>
          <cell r="G37">
            <v>3.3718749052669898E-5</v>
          </cell>
          <cell r="H37">
            <v>6.00880216070457E-5</v>
          </cell>
          <cell r="I37">
            <v>4.8635064942746497E-5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5.6607135969342998E-5</v>
          </cell>
          <cell r="F38">
            <v>1.1129263292574624E-4</v>
          </cell>
          <cell r="G38">
            <v>1.2582127791843902E-4</v>
          </cell>
          <cell r="H38">
            <v>1.2680734306829864E-4</v>
          </cell>
          <cell r="I38">
            <v>8.6940255626603684E-5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8.8918253552470738E-2</v>
          </cell>
          <cell r="E39">
            <v>0.15999164844813546</v>
          </cell>
          <cell r="F39">
            <v>0.15446958425615523</v>
          </cell>
          <cell r="G39">
            <v>0.12534786784074212</v>
          </cell>
          <cell r="H39">
            <v>4.3873627071682186E-3</v>
          </cell>
          <cell r="I39">
            <v>2.6703692645753596E-3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8.8918253552470738E-2</v>
          </cell>
          <cell r="E40">
            <v>0.15999164844813546</v>
          </cell>
          <cell r="F40">
            <v>0.15446958425615523</v>
          </cell>
          <cell r="G40">
            <v>0.12534786784074212</v>
          </cell>
          <cell r="H40">
            <v>4.3873627071682186E-3</v>
          </cell>
          <cell r="I40">
            <v>2.6703692645753596E-3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1.4708421229005201E-4</v>
          </cell>
          <cell r="F41">
            <v>1.4360152232204099E-4</v>
          </cell>
          <cell r="G41">
            <v>1.3352506882598401E-4</v>
          </cell>
          <cell r="H41">
            <v>1.4859433724909399E-4</v>
          </cell>
          <cell r="I41">
            <v>1.2624475321316601E-4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7.2620886448426947E-3</v>
          </cell>
          <cell r="E42">
            <v>1.2603714262236958E-2</v>
          </cell>
          <cell r="F42">
            <v>1.2220721358442188E-2</v>
          </cell>
          <cell r="G42">
            <v>9.9017157060254206E-3</v>
          </cell>
          <cell r="H42">
            <v>3.6558550580831166E-4</v>
          </cell>
          <cell r="I42">
            <v>2.2974238925813512E-4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4.0841716815144521E-6</v>
          </cell>
          <cell r="E43">
            <v>4.6775570363796851E-4</v>
          </cell>
          <cell r="F43">
            <v>1.855118685110497E-3</v>
          </cell>
          <cell r="G43">
            <v>2.7194929695767093E-3</v>
          </cell>
          <cell r="H43">
            <v>3.2166452475301077E-3</v>
          </cell>
          <cell r="I43">
            <v>1.8100242867554294E-3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4.0841716815144521E-6</v>
          </cell>
          <cell r="E44">
            <v>4.6775570363796851E-4</v>
          </cell>
          <cell r="F44">
            <v>1.855118685110497E-3</v>
          </cell>
          <cell r="G44">
            <v>2.7194929695767093E-3</v>
          </cell>
          <cell r="H44">
            <v>3.2166452475301077E-3</v>
          </cell>
          <cell r="I44">
            <v>1.8100242867554294E-3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3.5909940536954503E-5</v>
          </cell>
          <cell r="F45">
            <v>1.20187035792704E-4</v>
          </cell>
          <cell r="G45">
            <v>8.9708788039349096E-5</v>
          </cell>
          <cell r="H45">
            <v>1.2349394723712101E-4</v>
          </cell>
          <cell r="I45">
            <v>9.2076686012818103E-5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3.5682179660657467E-5</v>
          </cell>
          <cell r="F46">
            <v>1.5222368034166701E-4</v>
          </cell>
          <cell r="G46">
            <v>2.1630935138285728E-4</v>
          </cell>
          <cell r="H46">
            <v>3.0683776677930348E-4</v>
          </cell>
          <cell r="I46">
            <v>1.8322048856524688E-4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  <cell r="H47">
            <v>0.24502178379704065</v>
          </cell>
          <cell r="I47">
            <v>0.2633952325827133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  <cell r="H48">
            <v>9.7091692936423453</v>
          </cell>
          <cell r="I48">
            <v>10.452356471027851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4.4020219552452101E-5</v>
          </cell>
          <cell r="E49">
            <v>5.4052120937547103E-5</v>
          </cell>
          <cell r="F49">
            <v>8.1081428121008295E-5</v>
          </cell>
          <cell r="G49">
            <v>1.3513416838796299E-4</v>
          </cell>
          <cell r="H49">
            <v>1.33432824697032E-4</v>
          </cell>
          <cell r="I49">
            <v>1.28030813661648E-3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2.0938227174176322E-3</v>
          </cell>
          <cell r="E50">
            <v>2.1478748383551793E-3</v>
          </cell>
          <cell r="F50">
            <v>2.2289562664761869E-3</v>
          </cell>
          <cell r="G50">
            <v>2.3640904348641509E-3</v>
          </cell>
          <cell r="H50">
            <v>2.6309642957659789E-3</v>
          </cell>
          <cell r="I50">
            <v>2.8282374921505303E-3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6.1519569775412227E-5</v>
          </cell>
          <cell r="E51">
            <v>8.8823767447580634E-3</v>
          </cell>
          <cell r="F51">
            <v>0.99200283031645131</v>
          </cell>
          <cell r="G51">
            <v>4.9512639339272946</v>
          </cell>
          <cell r="H51">
            <v>10.918122266897083</v>
          </cell>
          <cell r="I51">
            <v>8.828950774927252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6.1519569775412227E-5</v>
          </cell>
          <cell r="E52">
            <v>8.8823767447580634E-3</v>
          </cell>
          <cell r="F52">
            <v>0.99200283031645131</v>
          </cell>
          <cell r="G52">
            <v>4.9512639339272946</v>
          </cell>
          <cell r="H52">
            <v>10.918122266897083</v>
          </cell>
          <cell r="I52">
            <v>8.828950774927252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6.1549871520084703E-4</v>
          </cell>
          <cell r="F53">
            <v>6.8550022501761607E-2</v>
          </cell>
          <cell r="G53">
            <v>0.295855845183016</v>
          </cell>
          <cell r="H53">
            <v>0.262779172627292</v>
          </cell>
          <cell r="I53">
            <v>0.425269786474956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6.1132988291823188E-4</v>
          </cell>
          <cell r="F54">
            <v>6.8213859108227748E-2</v>
          </cell>
          <cell r="G54">
            <v>0.34043789569941213</v>
          </cell>
          <cell r="H54">
            <v>0.75071218548094054</v>
          </cell>
          <cell r="I54">
            <v>0.60706411771585655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2.9991926249729795E-3</v>
          </cell>
          <cell r="E55">
            <v>1.0327144480522686E-2</v>
          </cell>
          <cell r="F55">
            <v>1.1576246114986226E-2</v>
          </cell>
          <cell r="G55">
            <v>1.1116881910517989E-2</v>
          </cell>
          <cell r="H55">
            <v>4.7981821058134507E-3</v>
          </cell>
          <cell r="I55">
            <v>2.8040299005639481E-3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2.9991926249729795E-3</v>
          </cell>
          <cell r="E56">
            <v>1.0327144480522686E-2</v>
          </cell>
          <cell r="F56">
            <v>1.1576246114986226E-2</v>
          </cell>
          <cell r="G56">
            <v>1.1116881910517989E-2</v>
          </cell>
          <cell r="H56">
            <v>4.7981821058134507E-3</v>
          </cell>
          <cell r="I56">
            <v>2.8040299005639481E-3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1.38473019736326E-4</v>
          </cell>
          <cell r="F57">
            <v>1.63602103514369E-4</v>
          </cell>
          <cell r="G57">
            <v>1.5273386807725001E-4</v>
          </cell>
          <cell r="H57">
            <v>1.5446569896151999E-4</v>
          </cell>
          <cell r="I57">
            <v>1.2986307215077101E-4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2.5880238631564856E-4</v>
          </cell>
          <cell r="E58">
            <v>8.1669660516566194E-4</v>
          </cell>
          <cell r="F58">
            <v>9.428636493527911E-4</v>
          </cell>
          <cell r="G58">
            <v>8.9414335285570691E-4</v>
          </cell>
          <cell r="H58">
            <v>3.9823333039730197E-4</v>
          </cell>
          <cell r="I58">
            <v>2.410708096648008E-4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G59">
            <v>1.6385543668145057E-6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G60">
            <v>6.9903671142239826E-6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G61">
            <v>4.9121568727530001E-8</v>
          </cell>
          <cell r="H61">
            <v>1.34274526521351E-8</v>
          </cell>
          <cell r="I61">
            <v>1.2880703338581099E-8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G62">
            <v>4.9121568727530001E-8</v>
          </cell>
          <cell r="H62">
            <v>3.1048018766972002E-8</v>
          </cell>
          <cell r="I62">
            <v>2.3783623076176901E-8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D63">
            <v>2.1408164206976809E-4</v>
          </cell>
          <cell r="E63">
            <v>6.2480596296524561E-4</v>
          </cell>
          <cell r="F63">
            <v>8.008898405507701E-4</v>
          </cell>
          <cell r="G63">
            <v>7.5107550738010866E-4</v>
          </cell>
          <cell r="H63">
            <v>5.6527845045053972E-4</v>
          </cell>
          <cell r="I63">
            <v>3.158971059166036E-4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D64">
            <v>2.2137394678484398E-2</v>
          </cell>
          <cell r="E64">
            <v>6.4608885030527308E-2</v>
          </cell>
          <cell r="F64">
            <v>8.281707073455119E-2</v>
          </cell>
          <cell r="G64">
            <v>7.7665953883134825E-2</v>
          </cell>
          <cell r="H64">
            <v>5.5514339999717228E-2</v>
          </cell>
          <cell r="I64">
            <v>2.8635433744710649E-2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D65">
            <v>2.999646975404391E-4</v>
          </cell>
          <cell r="E65">
            <v>8.7545914675511217E-4</v>
          </cell>
          <cell r="F65">
            <v>1.1221825302784715E-3</v>
          </cell>
          <cell r="G65">
            <v>1.0523841989584671E-3</v>
          </cell>
          <cell r="H65">
            <v>7.5222682926446237E-4</v>
          </cell>
          <cell r="I65">
            <v>3.8801400738090307E-4</v>
          </cell>
        </row>
        <row r="66">
          <cell r="A66" t="str">
            <v>T_B_u-FCLH2O-S2</v>
          </cell>
          <cell r="B66" t="str">
            <v>VAR_fout</v>
          </cell>
          <cell r="C66" t="str">
            <v>TPBSu</v>
          </cell>
          <cell r="G66">
            <v>4.4070970677839578E-7</v>
          </cell>
        </row>
        <row r="67">
          <cell r="A67" t="str">
            <v>T_B_u-FCLH2O-S2</v>
          </cell>
          <cell r="B67" t="str">
            <v>VAR_fin</v>
          </cell>
          <cell r="C67" t="str">
            <v>TH2O</v>
          </cell>
          <cell r="G67">
            <v>2.6061842677999264E-6</v>
          </cell>
        </row>
        <row r="68">
          <cell r="A68" t="str">
            <v>T_B_u-FCLH2O-S2</v>
          </cell>
          <cell r="B68" t="str">
            <v>VAR_ncap</v>
          </cell>
          <cell r="C68" t="str">
            <v>-</v>
          </cell>
          <cell r="G68">
            <v>2.22474991549241E-8</v>
          </cell>
        </row>
        <row r="69">
          <cell r="A69" t="str">
            <v>T_B_u-FCLH2O-S2</v>
          </cell>
          <cell r="B69" t="str">
            <v>VAR_cap</v>
          </cell>
          <cell r="C69" t="str">
            <v>-</v>
          </cell>
          <cell r="G69">
            <v>2.22474991549241E-8</v>
          </cell>
          <cell r="H69">
            <v>3.9405198380691996E-9</v>
          </cell>
        </row>
        <row r="70">
          <cell r="A70" t="str">
            <v>T-Plg-GSL-mix_S2</v>
          </cell>
          <cell r="B70" t="str">
            <v>VAR_fout</v>
          </cell>
          <cell r="C70" t="str">
            <v>CO2_T</v>
          </cell>
          <cell r="D70">
            <v>6.1919072275938998</v>
          </cell>
          <cell r="E70">
            <v>12.30353994109006</v>
          </cell>
          <cell r="F70">
            <v>11.3726897416984</v>
          </cell>
          <cell r="G70">
            <v>9.5277317718307835</v>
          </cell>
          <cell r="H70">
            <v>0.22347096857577298</v>
          </cell>
          <cell r="I70">
            <v>0.10640680723686741</v>
          </cell>
        </row>
        <row r="71">
          <cell r="A71" t="str">
            <v>T-Plg-GSL-mix_S2</v>
          </cell>
          <cell r="B71" t="str">
            <v>VAR_fout</v>
          </cell>
          <cell r="C71" t="str">
            <v>T-PEVmix-ELC_GSL_S2</v>
          </cell>
          <cell r="D71">
            <v>4.9167446722392177E-2</v>
          </cell>
          <cell r="E71">
            <v>9.7697465791237323E-2</v>
          </cell>
          <cell r="F71">
            <v>9.0305958473240439E-2</v>
          </cell>
          <cell r="G71">
            <v>7.5655888736364238E-2</v>
          </cell>
          <cell r="H71">
            <v>1.8690917170814888E-3</v>
          </cell>
          <cell r="I71">
            <v>9.8006273513938889E-4</v>
          </cell>
        </row>
        <row r="72">
          <cell r="A72" t="str">
            <v>T-Plg-GSL-mix_S2</v>
          </cell>
          <cell r="B72" t="str">
            <v>VAR_fin</v>
          </cell>
          <cell r="C72" t="str">
            <v>TGSL</v>
          </cell>
          <cell r="D72">
            <v>8.390118194571676E-2</v>
          </cell>
          <cell r="E72">
            <v>0.16671463334810405</v>
          </cell>
          <cell r="F72">
            <v>0.15410148701488358</v>
          </cell>
          <cell r="G72">
            <v>0.12910205652887252</v>
          </cell>
          <cell r="H72">
            <v>3.0280619048207716E-3</v>
          </cell>
          <cell r="I72">
            <v>1.4418266563261172E-3</v>
          </cell>
        </row>
        <row r="73">
          <cell r="A73" t="str">
            <v>T_B_u-FCLH2O-S3</v>
          </cell>
          <cell r="B73" t="str">
            <v>VAR_fout</v>
          </cell>
          <cell r="C73" t="str">
            <v>TPBSu</v>
          </cell>
          <cell r="G73">
            <v>1.2783136785654633E-6</v>
          </cell>
          <cell r="I73">
            <v>4.6332024064940303E-7</v>
          </cell>
        </row>
        <row r="74">
          <cell r="A74" t="str">
            <v>T_B_u-FCLH2O-S3</v>
          </cell>
          <cell r="B74" t="str">
            <v>VAR_fin</v>
          </cell>
          <cell r="C74" t="str">
            <v>TH2O</v>
          </cell>
          <cell r="G74">
            <v>1.1301669690816921E-5</v>
          </cell>
          <cell r="I74">
            <v>3.1606569787389402E-6</v>
          </cell>
        </row>
        <row r="75">
          <cell r="A75" t="str">
            <v>T_B_u-FCLH2O-S3</v>
          </cell>
          <cell r="B75" t="str">
            <v>VAR_ncap</v>
          </cell>
          <cell r="C75" t="str">
            <v>-</v>
          </cell>
          <cell r="G75">
            <v>1.624983775153E-8</v>
          </cell>
        </row>
        <row r="76">
          <cell r="A76" t="str">
            <v>T_B_u-FCLH2O-S3</v>
          </cell>
          <cell r="B76" t="str">
            <v>VAR_cap</v>
          </cell>
          <cell r="C76" t="str">
            <v>-</v>
          </cell>
          <cell r="G76">
            <v>1.624983775153E-8</v>
          </cell>
          <cell r="I76">
            <v>-9.2888444951898799E-9</v>
          </cell>
        </row>
        <row r="77">
          <cell r="A77" t="str">
            <v>T-PHEV-STG_S1</v>
          </cell>
          <cell r="B77" t="str">
            <v>VAR_fout</v>
          </cell>
          <cell r="C77" t="str">
            <v>T-ELC-car-PlgSTGAUXout_S1</v>
          </cell>
          <cell r="E77">
            <v>6.7956507994348001E-5</v>
          </cell>
          <cell r="F77">
            <v>1.1959968315679762E-4</v>
          </cell>
          <cell r="G77">
            <v>5.7404255487347939E-4</v>
          </cell>
          <cell r="H77">
            <v>1.4411097839676639E-3</v>
          </cell>
          <cell r="I77">
            <v>1.3220635496182429E-3</v>
          </cell>
        </row>
        <row r="78">
          <cell r="A78" t="str">
            <v>T-PHEV-STG_S1</v>
          </cell>
          <cell r="B78" t="str">
            <v>VAR_fout</v>
          </cell>
          <cell r="C78" t="str">
            <v>T-ELC-car-PlgSTGOut_S1</v>
          </cell>
          <cell r="E78">
            <v>6.7956507994348001E-5</v>
          </cell>
          <cell r="F78">
            <v>1.1959968315679759E-4</v>
          </cell>
          <cell r="G78">
            <v>5.7404255487347939E-4</v>
          </cell>
          <cell r="H78">
            <v>1.4411097839676639E-3</v>
          </cell>
          <cell r="I78">
            <v>1.3220635496182427E-3</v>
          </cell>
        </row>
        <row r="79">
          <cell r="A79" t="str">
            <v>T-PHEV-STG_S1</v>
          </cell>
          <cell r="B79" t="str">
            <v>VAR_fin</v>
          </cell>
          <cell r="C79" t="str">
            <v>T-ELC-car-PlgSTGAUXin_S1</v>
          </cell>
          <cell r="E79">
            <v>7.0547059602166573E-5</v>
          </cell>
          <cell r="F79">
            <v>1.2417787182509226E-4</v>
          </cell>
          <cell r="G79">
            <v>5.7854468044162596E-4</v>
          </cell>
          <cell r="H79">
            <v>1.4421428524729371E-3</v>
          </cell>
          <cell r="I79">
            <v>1.3256111822133698E-3</v>
          </cell>
        </row>
        <row r="80">
          <cell r="A80" t="str">
            <v>T-PHEV-STG_S1</v>
          </cell>
          <cell r="B80" t="str">
            <v>VAR_fin</v>
          </cell>
          <cell r="C80" t="str">
            <v>T-ELC-car-PlgSTGin_S1</v>
          </cell>
          <cell r="E80">
            <v>7.0547059602166573E-5</v>
          </cell>
          <cell r="F80">
            <v>1.2417787182509226E-4</v>
          </cell>
          <cell r="G80">
            <v>5.7854468044162596E-4</v>
          </cell>
          <cell r="H80">
            <v>1.4421428524729371E-3</v>
          </cell>
          <cell r="I80">
            <v>1.3256111822133698E-3</v>
          </cell>
        </row>
        <row r="81">
          <cell r="A81" t="str">
            <v>T-PHEV-STG_S1</v>
          </cell>
          <cell r="B81" t="str">
            <v>VAR_ncap</v>
          </cell>
          <cell r="C81" t="str">
            <v>-</v>
          </cell>
          <cell r="E81">
            <v>4.5933302691771897E-3</v>
          </cell>
          <cell r="F81">
            <v>4.4907366850775897E-3</v>
          </cell>
          <cell r="G81">
            <v>2.9860875010901599E-3</v>
          </cell>
          <cell r="H81">
            <v>5.1319501527983397E-3</v>
          </cell>
          <cell r="I81">
            <v>3.94867531147528E-3</v>
          </cell>
        </row>
        <row r="82">
          <cell r="A82" t="str">
            <v>T-PHEV-STG_S1</v>
          </cell>
          <cell r="B82" t="str">
            <v>VAR_cap</v>
          </cell>
          <cell r="C82" t="str">
            <v>-</v>
          </cell>
          <cell r="E82">
            <v>4.5933302691771897E-3</v>
          </cell>
          <cell r="F82">
            <v>9.0819949195630172E-3</v>
          </cell>
          <cell r="G82">
            <v>1.206366284485547E-2</v>
          </cell>
          <cell r="H82">
            <v>1.3202936431195902E-2</v>
          </cell>
          <cell r="I82">
            <v>9.8853015229825418E-3</v>
          </cell>
        </row>
        <row r="83">
          <cell r="A83" t="str">
            <v>T-Plg-GSL-mix_S3</v>
          </cell>
          <cell r="B83" t="str">
            <v>VAR_fout</v>
          </cell>
          <cell r="C83" t="str">
            <v>CO2_T</v>
          </cell>
          <cell r="D83">
            <v>6.6103948724488504</v>
          </cell>
          <cell r="E83">
            <v>76.065430906592297</v>
          </cell>
          <cell r="F83">
            <v>130.29740742259509</v>
          </cell>
          <cell r="G83">
            <v>124.3119810359284</v>
          </cell>
          <cell r="H83">
            <v>69.400212023639853</v>
          </cell>
          <cell r="I83">
            <v>87.515300356525557</v>
          </cell>
        </row>
        <row r="84">
          <cell r="A84" t="str">
            <v>T-Plg-GSL-mix_S3</v>
          </cell>
          <cell r="B84" t="str">
            <v>VAR_fout</v>
          </cell>
          <cell r="C84" t="str">
            <v>T-PEVmix-ELC_GSL_S3</v>
          </cell>
          <cell r="D84">
            <v>4.8864660367791399E-2</v>
          </cell>
          <cell r="E84">
            <v>0.56228281648829692</v>
          </cell>
          <cell r="F84">
            <v>0.96317068546771867</v>
          </cell>
          <cell r="G84">
            <v>0.91892585090271017</v>
          </cell>
          <cell r="H84">
            <v>0.54359349161191628</v>
          </cell>
          <cell r="I84">
            <v>0.81142736903096313</v>
          </cell>
        </row>
        <row r="85">
          <cell r="A85" t="str">
            <v>T-Plg-GSL-mix_S3</v>
          </cell>
          <cell r="B85" t="str">
            <v>VAR_fin</v>
          </cell>
          <cell r="C85" t="str">
            <v>TGSL</v>
          </cell>
          <cell r="D85">
            <v>8.9571746239144198E-2</v>
          </cell>
          <cell r="E85">
            <v>1.0306968957532829</v>
          </cell>
          <cell r="F85">
            <v>1.7655475260514222</v>
          </cell>
          <cell r="G85">
            <v>1.6844441874787055</v>
          </cell>
          <cell r="H85">
            <v>0.94038227674308694</v>
          </cell>
          <cell r="I85">
            <v>1.1858441782727045</v>
          </cell>
        </row>
        <row r="86">
          <cell r="A86" t="str">
            <v>T_B_u-FCLH2O-S4</v>
          </cell>
          <cell r="B86" t="str">
            <v>VAR_cap</v>
          </cell>
          <cell r="C86" t="str">
            <v>-</v>
          </cell>
          <cell r="I86">
            <v>-4.8191059030307003E-9</v>
          </cell>
        </row>
        <row r="87">
          <cell r="A87" t="str">
            <v>T-PHEV-STG_S2</v>
          </cell>
          <cell r="B87" t="str">
            <v>VAR_fout</v>
          </cell>
          <cell r="C87" t="str">
            <v>T-ELC-car-PlgSTGAUXout_S2</v>
          </cell>
          <cell r="D87">
            <v>9.9646525728608326E-4</v>
          </cell>
          <cell r="E87">
            <v>7.6347829890267979E-4</v>
          </cell>
          <cell r="F87">
            <v>2.9512314268283304E-3</v>
          </cell>
          <cell r="G87">
            <v>2.7530198221481341E-3</v>
          </cell>
          <cell r="H87">
            <v>2.6265856271325528E-3</v>
          </cell>
          <cell r="I87">
            <v>2.0018983800933364E-3</v>
          </cell>
        </row>
        <row r="88">
          <cell r="A88" t="str">
            <v>T-PHEV-STG_S2</v>
          </cell>
          <cell r="B88" t="str">
            <v>VAR_fout</v>
          </cell>
          <cell r="C88" t="str">
            <v>T-ELC-car-PlgSTGOut_S2</v>
          </cell>
          <cell r="D88">
            <v>9.9646525728608304E-4</v>
          </cell>
          <cell r="E88">
            <v>7.6347829890267968E-4</v>
          </cell>
          <cell r="F88">
            <v>2.9512314268283304E-3</v>
          </cell>
          <cell r="G88">
            <v>2.7530198221481341E-3</v>
          </cell>
          <cell r="H88">
            <v>2.6265856271325528E-3</v>
          </cell>
          <cell r="I88">
            <v>2.0018983800933364E-3</v>
          </cell>
        </row>
        <row r="89">
          <cell r="A89" t="str">
            <v>T-PHEV-STG_S2</v>
          </cell>
          <cell r="B89" t="str">
            <v>VAR_fin</v>
          </cell>
          <cell r="C89" t="str">
            <v>T-ELC-car-PlgSTGAUXin_S2</v>
          </cell>
          <cell r="D89">
            <v>9.9884625644610422E-4</v>
          </cell>
          <cell r="E89">
            <v>7.6636184315024289E-4</v>
          </cell>
          <cell r="F89">
            <v>2.9592288037071941E-3</v>
          </cell>
          <cell r="G89">
            <v>2.7580615242829101E-3</v>
          </cell>
          <cell r="H89">
            <v>2.6285677150928483E-3</v>
          </cell>
          <cell r="I89">
            <v>2.0050636831033921E-3</v>
          </cell>
        </row>
        <row r="90">
          <cell r="A90" t="str">
            <v>T-PHEV-STG_S2</v>
          </cell>
          <cell r="B90" t="str">
            <v>VAR_fin</v>
          </cell>
          <cell r="C90" t="str">
            <v>T-ELC-car-PlgSTGin_S2</v>
          </cell>
          <cell r="D90">
            <v>9.9884625644610422E-4</v>
          </cell>
          <cell r="E90">
            <v>7.6636184315024289E-4</v>
          </cell>
          <cell r="F90">
            <v>2.9592288037071941E-3</v>
          </cell>
          <cell r="G90">
            <v>2.7580615242829101E-3</v>
          </cell>
          <cell r="H90">
            <v>2.6285677150928483E-3</v>
          </cell>
          <cell r="I90">
            <v>2.0050636831033921E-3</v>
          </cell>
        </row>
        <row r="91">
          <cell r="A91" t="str">
            <v>T-PHEV-STG_S2</v>
          </cell>
          <cell r="B91" t="str">
            <v>VAR_ncap</v>
          </cell>
          <cell r="C91" t="str">
            <v>-</v>
          </cell>
          <cell r="D91">
            <v>1.9073216818124999E-2</v>
          </cell>
          <cell r="E91">
            <v>1.8338238699394899E-2</v>
          </cell>
          <cell r="F91">
            <v>2.32480434568164E-2</v>
          </cell>
          <cell r="G91">
            <v>2.2123775433538599E-2</v>
          </cell>
          <cell r="H91">
            <v>1.2008267011374901E-2</v>
          </cell>
          <cell r="I91">
            <v>8.1563900017012896E-3</v>
          </cell>
        </row>
        <row r="92">
          <cell r="A92" t="str">
            <v>T-PHEV-STG_S2</v>
          </cell>
          <cell r="B92" t="str">
            <v>VAR_cap</v>
          </cell>
          <cell r="C92" t="str">
            <v>-</v>
          </cell>
          <cell r="D92">
            <v>1.9073216818124999E-2</v>
          </cell>
          <cell r="E92">
            <v>3.7406664529597095E-2</v>
          </cell>
          <cell r="F92">
            <v>6.064262858498063E-2</v>
          </cell>
          <cell r="G92">
            <v>8.2747177367273481E-2</v>
          </cell>
          <cell r="H92">
            <v>4.9002737061767457E-2</v>
          </cell>
          <cell r="I92">
            <v>2.4384612194126347E-2</v>
          </cell>
        </row>
        <row r="93">
          <cell r="A93" t="str">
            <v>T-Plg-GSL-mix_S4</v>
          </cell>
          <cell r="B93" t="str">
            <v>VAR_fout</v>
          </cell>
          <cell r="C93" t="str">
            <v>CO2_T</v>
          </cell>
          <cell r="D93">
            <v>12.6254840589135</v>
          </cell>
          <cell r="E93">
            <v>22.661119860166899</v>
          </cell>
          <cell r="F93">
            <v>20.954257001822896</v>
          </cell>
          <cell r="G93">
            <v>16.616520988573619</v>
          </cell>
          <cell r="H93">
            <v>0.35850294385156406</v>
          </cell>
          <cell r="I93">
            <v>0.1626986552427197</v>
          </cell>
        </row>
        <row r="94">
          <cell r="A94" t="str">
            <v>T-Plg-GSL-mix_S4</v>
          </cell>
          <cell r="B94" t="str">
            <v>VAR_fout</v>
          </cell>
          <cell r="C94" t="str">
            <v>T-PEVmix-ELC_GSL_S4</v>
          </cell>
          <cell r="D94">
            <v>8.891825355247078E-2</v>
          </cell>
          <cell r="E94">
            <v>0.15959682750434387</v>
          </cell>
          <cell r="F94">
            <v>0.14757580211558816</v>
          </cell>
          <cell r="G94">
            <v>0.11702616862272544</v>
          </cell>
          <cell r="H94">
            <v>2.6537690453894099E-3</v>
          </cell>
          <cell r="I94">
            <v>1.3236043002117913E-3</v>
          </cell>
        </row>
        <row r="95">
          <cell r="A95" t="str">
            <v>T-Plg-GSL-mix_S4</v>
          </cell>
          <cell r="B95" t="str">
            <v>VAR_fin</v>
          </cell>
          <cell r="C95" t="str">
            <v>TGSL</v>
          </cell>
          <cell r="D95">
            <v>0.17107701976847511</v>
          </cell>
          <cell r="E95">
            <v>0.30706124471770901</v>
          </cell>
          <cell r="F95">
            <v>0.28393302170491785</v>
          </cell>
          <cell r="G95">
            <v>0.22515611095628213</v>
          </cell>
          <cell r="H95">
            <v>4.8577634668233527E-3</v>
          </cell>
          <cell r="I95">
            <v>2.2045888244270955E-3</v>
          </cell>
        </row>
        <row r="96">
          <cell r="A96" t="str">
            <v>T-PHEV-STG_S3</v>
          </cell>
          <cell r="B96" t="str">
            <v>VAR_fout</v>
          </cell>
          <cell r="C96" t="str">
            <v>T-ELC-car-PlgSTGAUXout_S3</v>
          </cell>
          <cell r="E96">
            <v>7.6647173038156186E-2</v>
          </cell>
          <cell r="F96">
            <v>0.29901891293806865</v>
          </cell>
          <cell r="G96">
            <v>1.3251832265171151</v>
          </cell>
          <cell r="H96">
            <v>3.1441302339861879</v>
          </cell>
          <cell r="I96">
            <v>2.9932187384964868</v>
          </cell>
        </row>
        <row r="97">
          <cell r="A97" t="str">
            <v>T-PHEV-STG_S3</v>
          </cell>
          <cell r="B97" t="str">
            <v>VAR_fout</v>
          </cell>
          <cell r="C97" t="str">
            <v>T-ELC-car-PlgSTGOut_S3</v>
          </cell>
          <cell r="E97">
            <v>7.6647173038156186E-2</v>
          </cell>
          <cell r="F97">
            <v>0.29901891293806865</v>
          </cell>
          <cell r="G97">
            <v>1.3251832265171151</v>
          </cell>
          <cell r="H97">
            <v>3.1441302339861879</v>
          </cell>
          <cell r="I97">
            <v>2.9932187384964859</v>
          </cell>
        </row>
        <row r="98">
          <cell r="A98" t="str">
            <v>T-PHEV-STG_S3</v>
          </cell>
          <cell r="B98" t="str">
            <v>VAR_fin</v>
          </cell>
          <cell r="C98" t="str">
            <v>T-ELC-car-PlgSTGAUXin_S3</v>
          </cell>
          <cell r="E98">
            <v>7.6656935623731201E-2</v>
          </cell>
          <cell r="F98">
            <v>0.29905242622710443</v>
          </cell>
          <cell r="G98">
            <v>1.3253206940667894</v>
          </cell>
          <cell r="H98">
            <v>3.1444453802488104</v>
          </cell>
          <cell r="I98">
            <v>2.9935194938991452</v>
          </cell>
        </row>
        <row r="99">
          <cell r="A99" t="str">
            <v>T-PHEV-STG_S3</v>
          </cell>
          <cell r="B99" t="str">
            <v>VAR_fin</v>
          </cell>
          <cell r="C99" t="str">
            <v>T-ELC-car-PlgSTGin_S3</v>
          </cell>
          <cell r="E99">
            <v>7.6656935623731201E-2</v>
          </cell>
          <cell r="F99">
            <v>0.29905242622710443</v>
          </cell>
          <cell r="G99">
            <v>1.3253206940667894</v>
          </cell>
          <cell r="H99">
            <v>3.1444453802488104</v>
          </cell>
          <cell r="I99">
            <v>2.9935194938991452</v>
          </cell>
        </row>
        <row r="100">
          <cell r="A100" t="str">
            <v>T-PHEV-STG_S3</v>
          </cell>
          <cell r="B100" t="str">
            <v>VAR_ncap</v>
          </cell>
          <cell r="C100" t="str">
            <v>-</v>
          </cell>
          <cell r="E100">
            <v>3.23681470061313</v>
          </cell>
          <cell r="F100">
            <v>9.4364728364243593</v>
          </cell>
          <cell r="G100">
            <v>27.243908891727902</v>
          </cell>
          <cell r="H100">
            <v>22.390448480174701</v>
          </cell>
          <cell r="I100">
            <v>42.830827343251897</v>
          </cell>
        </row>
        <row r="101">
          <cell r="A101" t="str">
            <v>T-PHEV-STG_S3</v>
          </cell>
          <cell r="B101" t="str">
            <v>VAR_cap</v>
          </cell>
          <cell r="C101" t="str">
            <v>-</v>
          </cell>
          <cell r="E101">
            <v>3.23681470061313</v>
          </cell>
          <cell r="F101">
            <v>12.671177645597858</v>
          </cell>
          <cell r="G101">
            <v>39.898856262966945</v>
          </cell>
          <cell r="H101">
            <v>49.534522448889206</v>
          </cell>
          <cell r="I101">
            <v>61.033802102342904</v>
          </cell>
        </row>
        <row r="102">
          <cell r="A102" t="str">
            <v>TFLGV-HYBDSL</v>
          </cell>
          <cell r="B102" t="str">
            <v>VAR_fout</v>
          </cell>
          <cell r="C102" t="str">
            <v>CO2_T</v>
          </cell>
          <cell r="E102">
            <v>13.2499210403854</v>
          </cell>
          <cell r="F102">
            <v>77.134929299750397</v>
          </cell>
          <cell r="G102">
            <v>254.08699313171991</v>
          </cell>
          <cell r="H102">
            <v>177.57276445588093</v>
          </cell>
          <cell r="I102">
            <v>206.55956747597293</v>
          </cell>
        </row>
        <row r="103">
          <cell r="A103" t="str">
            <v>TFLGV-HYBDSL</v>
          </cell>
          <cell r="B103" t="str">
            <v>VAR_fout</v>
          </cell>
          <cell r="C103" t="str">
            <v>TFLGV</v>
          </cell>
          <cell r="E103">
            <v>8.3289689229668354E-2</v>
          </cell>
          <cell r="F103">
            <v>0.48487415664944861</v>
          </cell>
          <cell r="G103">
            <v>1.5972039856492801</v>
          </cell>
          <cell r="H103">
            <v>1.116231585237679</v>
          </cell>
          <cell r="I103">
            <v>1.2984441288404904</v>
          </cell>
        </row>
        <row r="104">
          <cell r="A104" t="str">
            <v>TFLGV-HYBDSL</v>
          </cell>
          <cell r="B104" t="str">
            <v>VAR_fin</v>
          </cell>
          <cell r="C104" t="str">
            <v>TDSL</v>
          </cell>
          <cell r="E104">
            <v>0.18076290641726314</v>
          </cell>
          <cell r="F104">
            <v>1.0523182714836348</v>
          </cell>
          <cell r="G104">
            <v>3.4663982691912629</v>
          </cell>
          <cell r="H104">
            <v>2.422547946192108</v>
          </cell>
          <cell r="I104">
            <v>2.8180022848018123</v>
          </cell>
        </row>
        <row r="105">
          <cell r="A105" t="str">
            <v>TFLGV-HYBDSL</v>
          </cell>
          <cell r="B105" t="str">
            <v>VAR_ncap</v>
          </cell>
          <cell r="C105" t="str">
            <v>-</v>
          </cell>
          <cell r="E105">
            <v>5.8068843641156899E-3</v>
          </cell>
          <cell r="F105">
            <v>3.9694934980394399E-2</v>
          </cell>
          <cell r="G105">
            <v>9.5151051988143803E-2</v>
          </cell>
          <cell r="H105">
            <v>3.0214917202521201E-5</v>
          </cell>
          <cell r="I105">
            <v>8.5521323098247906E-2</v>
          </cell>
        </row>
        <row r="106">
          <cell r="A106" t="str">
            <v>TFLGV-HYBDSL</v>
          </cell>
          <cell r="B106" t="str">
            <v>VAR_cap</v>
          </cell>
          <cell r="C106" t="str">
            <v>-</v>
          </cell>
          <cell r="E106">
            <v>5.8068843641156899E-3</v>
          </cell>
          <cell r="F106">
            <v>4.5501808689349568E-2</v>
          </cell>
          <cell r="G106">
            <v>0.139883485700529</v>
          </cell>
          <cell r="H106">
            <v>8.1178916531721962E-2</v>
          </cell>
          <cell r="I106">
            <v>9.6819579938408687E-2</v>
          </cell>
        </row>
        <row r="107">
          <cell r="A107" t="str">
            <v>TFHGV-FCLH2O</v>
          </cell>
          <cell r="B107" t="str">
            <v>VAR_fout</v>
          </cell>
          <cell r="C107" t="str">
            <v>TFHGV</v>
          </cell>
          <cell r="D107">
            <v>4.4276915933748838E-4</v>
          </cell>
          <cell r="E107">
            <v>1.8928099994947693E-4</v>
          </cell>
          <cell r="F107">
            <v>1.8996084134798304E-4</v>
          </cell>
          <cell r="G107">
            <v>4.0020561652138196E-5</v>
          </cell>
          <cell r="H107">
            <v>3.7199057708638521E-5</v>
          </cell>
          <cell r="I107">
            <v>3.4165797694754796E-5</v>
          </cell>
        </row>
        <row r="108">
          <cell r="A108" t="str">
            <v>TFHGV-FCLH2O</v>
          </cell>
          <cell r="B108" t="str">
            <v>VAR_fin</v>
          </cell>
          <cell r="C108" t="str">
            <v>TH2O</v>
          </cell>
          <cell r="D108">
            <v>2.53795929938707E-3</v>
          </cell>
          <cell r="E108">
            <v>1.0809070041784242E-3</v>
          </cell>
          <cell r="F108">
            <v>1.0835985724915558E-3</v>
          </cell>
          <cell r="G108">
            <v>2.2411064451731009E-4</v>
          </cell>
          <cell r="H108">
            <v>1.8729626859366084E-4</v>
          </cell>
          <cell r="I108">
            <v>1.5700703573469189E-4</v>
          </cell>
        </row>
        <row r="109">
          <cell r="A109" t="str">
            <v>TFHGV-FCLH2O</v>
          </cell>
          <cell r="B109" t="str">
            <v>VAR_ncap</v>
          </cell>
          <cell r="C109" t="str">
            <v>-</v>
          </cell>
          <cell r="E109">
            <v>1.5313997008254199E-7</v>
          </cell>
          <cell r="F109">
            <v>1.3825567999166E-7</v>
          </cell>
          <cell r="G109">
            <v>2.0491962232597199E-7</v>
          </cell>
          <cell r="H109">
            <v>3.6546283832408001E-7</v>
          </cell>
          <cell r="I109">
            <v>6.9032100631202497E-7</v>
          </cell>
        </row>
        <row r="110">
          <cell r="A110" t="str">
            <v>TFHGV-FCLH2O</v>
          </cell>
          <cell r="B110" t="str">
            <v>VAR_cap</v>
          </cell>
          <cell r="C110" t="str">
            <v>-</v>
          </cell>
          <cell r="D110">
            <v>1.057590657137045E-5</v>
          </cell>
          <cell r="E110">
            <v>3.688060019794042E-6</v>
          </cell>
          <cell r="F110">
            <v>3.8422989223701006E-6</v>
          </cell>
          <cell r="G110">
            <v>8.0531025392681791E-7</v>
          </cell>
          <cell r="H110">
            <v>7.9925790996626809E-7</v>
          </cell>
          <cell r="I110">
            <v>7.54455581436416E-7</v>
          </cell>
        </row>
        <row r="111">
          <cell r="A111" t="str">
            <v>T-PHEV-STG_S4</v>
          </cell>
          <cell r="B111" t="str">
            <v>VAR_fout</v>
          </cell>
          <cell r="C111" t="str">
            <v>T-ELC-car-PlgSTGAUXout_S4</v>
          </cell>
          <cell r="E111">
            <v>6.6044606053745479E-4</v>
          </cell>
          <cell r="F111">
            <v>5.7720641163405339E-3</v>
          </cell>
          <cell r="G111">
            <v>7.2161922111643609E-3</v>
          </cell>
          <cell r="H111">
            <v>5.1173994148560461E-3</v>
          </cell>
          <cell r="I111">
            <v>4.9333962222793317E-3</v>
          </cell>
        </row>
        <row r="112">
          <cell r="A112" t="str">
            <v>T-PHEV-STG_S4</v>
          </cell>
          <cell r="B112" t="str">
            <v>VAR_fout</v>
          </cell>
          <cell r="C112" t="str">
            <v>T-ELC-car-PlgSTGOut_S4</v>
          </cell>
          <cell r="E112">
            <v>6.6044606053745469E-4</v>
          </cell>
          <cell r="F112">
            <v>5.7720641163405322E-3</v>
          </cell>
          <cell r="G112">
            <v>7.2161922111643609E-3</v>
          </cell>
          <cell r="H112">
            <v>5.1173994148560453E-3</v>
          </cell>
          <cell r="I112">
            <v>4.9333962222793308E-3</v>
          </cell>
        </row>
        <row r="113">
          <cell r="A113" t="str">
            <v>T-PHEV-STG_S4</v>
          </cell>
          <cell r="B113" t="str">
            <v>VAR_fin</v>
          </cell>
          <cell r="C113" t="str">
            <v>T-ELC-car-PlgSTGAUXin_S4</v>
          </cell>
          <cell r="E113">
            <v>6.6374004830075078E-4</v>
          </cell>
          <cell r="F113">
            <v>5.7771094892900988E-3</v>
          </cell>
          <cell r="G113">
            <v>7.2218498761631141E-3</v>
          </cell>
          <cell r="H113">
            <v>5.1212798325149392E-3</v>
          </cell>
          <cell r="I113">
            <v>4.935199632671622E-3</v>
          </cell>
        </row>
        <row r="114">
          <cell r="A114" t="str">
            <v>T-PHEV-STG_S4</v>
          </cell>
          <cell r="B114" t="str">
            <v>VAR_fin</v>
          </cell>
          <cell r="C114" t="str">
            <v>T-ELC-car-PlgSTGin_S4</v>
          </cell>
          <cell r="E114">
            <v>6.6374004830075078E-4</v>
          </cell>
          <cell r="F114">
            <v>5.7771094892900988E-3</v>
          </cell>
          <cell r="G114">
            <v>7.2218498761631141E-3</v>
          </cell>
          <cell r="H114">
            <v>5.1212798325149392E-3</v>
          </cell>
          <cell r="I114">
            <v>4.935199632671622E-3</v>
          </cell>
        </row>
        <row r="115">
          <cell r="A115" t="str">
            <v>T-PHEV-STG_S4</v>
          </cell>
          <cell r="B115" t="str">
            <v>VAR_ncap</v>
          </cell>
          <cell r="C115" t="str">
            <v>-</v>
          </cell>
          <cell r="E115">
            <v>2.48575484273936E-2</v>
          </cell>
          <cell r="F115">
            <v>2.7047810711660399E-2</v>
          </cell>
          <cell r="G115">
            <v>2.4822447984654199E-2</v>
          </cell>
          <cell r="H115">
            <v>2.4981419298408199E-2</v>
          </cell>
          <cell r="I115">
            <v>2.02129136243859E-2</v>
          </cell>
        </row>
        <row r="116">
          <cell r="A116" t="str">
            <v>T-PHEV-STG_S4</v>
          </cell>
          <cell r="B116" t="str">
            <v>VAR_cap</v>
          </cell>
          <cell r="C116" t="str">
            <v>-</v>
          </cell>
          <cell r="E116">
            <v>2.48575484273936E-2</v>
          </cell>
          <cell r="F116">
            <v>5.1901323708639438E-2</v>
          </cell>
          <cell r="G116">
            <v>7.6712100904003974E-2</v>
          </cell>
          <cell r="H116">
            <v>8.0263554329390779E-2</v>
          </cell>
          <cell r="I116">
            <v>5.2512838072361956E-2</v>
          </cell>
        </row>
        <row r="117">
          <cell r="A117" t="str">
            <v>TFLGV-ICEGSLExt</v>
          </cell>
          <cell r="B117" t="str">
            <v>VAR_fout</v>
          </cell>
          <cell r="C117" t="str">
            <v>CO2_T</v>
          </cell>
          <cell r="D117">
            <v>61.450521924117901</v>
          </cell>
          <cell r="E117">
            <v>138.018914356143</v>
          </cell>
          <cell r="F117">
            <v>40.409785004651198</v>
          </cell>
          <cell r="G117">
            <v>20.011709564472</v>
          </cell>
        </row>
        <row r="118">
          <cell r="A118" t="str">
            <v>TFLGV-ICEGSLExt</v>
          </cell>
          <cell r="B118" t="str">
            <v>VAR_fout</v>
          </cell>
          <cell r="C118" t="str">
            <v>TFLGV</v>
          </cell>
          <cell r="D118">
            <v>0.23113327868567868</v>
          </cell>
          <cell r="E118">
            <v>0.52396756412983536</v>
          </cell>
          <cell r="F118">
            <v>0.15553439715771372</v>
          </cell>
          <cell r="G118">
            <v>7.7023651149026401E-2</v>
          </cell>
        </row>
        <row r="119">
          <cell r="A119" t="str">
            <v>TFLGV-ICEGSLExt</v>
          </cell>
          <cell r="B119" t="str">
            <v>VAR_fin</v>
          </cell>
          <cell r="C119" t="str">
            <v>TGSL</v>
          </cell>
          <cell r="D119">
            <v>0.83266289870078536</v>
          </cell>
          <cell r="E119">
            <v>1.8701749912756556</v>
          </cell>
          <cell r="F119">
            <v>0.54755806239364702</v>
          </cell>
          <cell r="G119">
            <v>0.27116137621235775</v>
          </cell>
        </row>
        <row r="120">
          <cell r="A120" t="str">
            <v>TFLGV-ICEGSLExt</v>
          </cell>
          <cell r="B120" t="str">
            <v>VAR_cap</v>
          </cell>
          <cell r="C120" t="str">
            <v>-</v>
          </cell>
          <cell r="D120">
            <v>4.5952E-2</v>
          </cell>
          <cell r="E120">
            <v>3.98250666666667E-2</v>
          </cell>
          <cell r="F120">
            <v>3.0634666666666699E-2</v>
          </cell>
          <cell r="G120">
            <v>1.5317333333333299E-2</v>
          </cell>
        </row>
        <row r="121">
          <cell r="A121" t="str">
            <v>TFRLFELCEXT</v>
          </cell>
          <cell r="B121" t="str">
            <v>VAR_fout</v>
          </cell>
          <cell r="C121" t="str">
            <v>TFRLF</v>
          </cell>
          <cell r="D121">
            <v>2.5094624388935085E-2</v>
          </cell>
          <cell r="E121">
            <v>2.6564233625830658E-2</v>
          </cell>
          <cell r="F121">
            <v>2.9169208449136425E-2</v>
          </cell>
          <cell r="G121">
            <v>3.1641845410504889E-2</v>
          </cell>
          <cell r="H121">
            <v>3.3876765259846113E-2</v>
          </cell>
          <cell r="I121">
            <v>3.6420875625994387E-2</v>
          </cell>
        </row>
        <row r="122">
          <cell r="A122" t="str">
            <v>TFRLFELCEXT</v>
          </cell>
          <cell r="B122" t="str">
            <v>VAR_fin</v>
          </cell>
          <cell r="C122" t="str">
            <v>TELC</v>
          </cell>
          <cell r="D122">
            <v>1.5023093861007011</v>
          </cell>
          <cell r="E122">
            <v>1.5902886965805174</v>
          </cell>
          <cell r="F122">
            <v>1.7462375590521875</v>
          </cell>
          <cell r="G122">
            <v>1.8942639115454856</v>
          </cell>
          <cell r="H122">
            <v>2.0280591425403931</v>
          </cell>
          <cell r="I122">
            <v>2.1803643065111276</v>
          </cell>
        </row>
        <row r="123">
          <cell r="A123" t="str">
            <v>TFRLFELCEXT</v>
          </cell>
          <cell r="B123" t="str">
            <v>VAR_ncap</v>
          </cell>
          <cell r="C123" t="str">
            <v>-</v>
          </cell>
          <cell r="D123">
            <v>1.20755591090244E-7</v>
          </cell>
          <cell r="E123">
            <v>1.35594656196971E-4</v>
          </cell>
          <cell r="F123">
            <v>2.4048166375600699E-4</v>
          </cell>
          <cell r="G123">
            <v>2.28243742294612E-4</v>
          </cell>
          <cell r="H123">
            <v>7.2078626782173902E-5</v>
          </cell>
          <cell r="I123">
            <v>1.4958151622318401E-3</v>
          </cell>
        </row>
        <row r="124">
          <cell r="A124" t="str">
            <v>TFRLFELCEXT</v>
          </cell>
          <cell r="B124" t="str">
            <v>VAR_cap</v>
          </cell>
          <cell r="C124" t="str">
            <v>-</v>
          </cell>
          <cell r="D124">
            <v>2.3167852432742701E-3</v>
          </cell>
          <cell r="E124">
            <v>2.4523798994712407E-3</v>
          </cell>
          <cell r="F124">
            <v>2.6928615632272486E-3</v>
          </cell>
          <cell r="G124">
            <v>2.9211053055218598E-3</v>
          </cell>
          <cell r="H124">
            <v>3.1274393177939336E-3</v>
          </cell>
          <cell r="I124">
            <v>3.3622906708618699E-3</v>
          </cell>
        </row>
        <row r="125">
          <cell r="A125" t="str">
            <v>TFLGV-ICEDSLExt</v>
          </cell>
          <cell r="B125" t="str">
            <v>VAR_fout</v>
          </cell>
          <cell r="C125" t="str">
            <v>CO2_T</v>
          </cell>
          <cell r="D125">
            <v>803.28992457886795</v>
          </cell>
          <cell r="E125">
            <v>545.29929231836002</v>
          </cell>
          <cell r="F125">
            <v>415.61326340326298</v>
          </cell>
          <cell r="G125">
            <v>199.786035474887</v>
          </cell>
        </row>
        <row r="126">
          <cell r="A126" t="str">
            <v>TFLGV-ICEDSLExt</v>
          </cell>
          <cell r="B126" t="str">
            <v>VAR_fout</v>
          </cell>
          <cell r="C126" t="str">
            <v>TFLGV</v>
          </cell>
          <cell r="D126">
            <v>2.8387656207897178</v>
          </cell>
          <cell r="E126">
            <v>1.9932620578088833</v>
          </cell>
          <cell r="F126">
            <v>1.5949156292747133</v>
          </cell>
          <cell r="G126">
            <v>0.76667878180912696</v>
          </cell>
        </row>
        <row r="127">
          <cell r="A127" t="str">
            <v>TFLGV-ICEDSLExt</v>
          </cell>
          <cell r="B127" t="str">
            <v>VAR_fin</v>
          </cell>
          <cell r="C127" t="str">
            <v>TDSL</v>
          </cell>
          <cell r="D127">
            <v>10.958934851007754</v>
          </cell>
          <cell r="E127">
            <v>7.4392809320376667</v>
          </cell>
          <cell r="F127">
            <v>5.6700308786256937</v>
          </cell>
          <cell r="G127">
            <v>2.7255939355373413</v>
          </cell>
        </row>
        <row r="128">
          <cell r="A128" t="str">
            <v>TFLGV-ICEDSLExt</v>
          </cell>
          <cell r="B128" t="str">
            <v>VAR_cap</v>
          </cell>
          <cell r="C128" t="str">
            <v>-</v>
          </cell>
          <cell r="D128">
            <v>0.228993</v>
          </cell>
          <cell r="E128">
            <v>0.19846059999999999</v>
          </cell>
          <cell r="F128">
            <v>0.15266197498041684</v>
          </cell>
          <cell r="G128">
            <v>7.6330999999999996E-2</v>
          </cell>
        </row>
        <row r="129">
          <cell r="A129" t="str">
            <v>T_C-ICE-NGA-S1</v>
          </cell>
          <cell r="B129" t="str">
            <v>VAR_fout</v>
          </cell>
          <cell r="C129" t="str">
            <v>CO2_T</v>
          </cell>
          <cell r="D129">
            <v>0.2030969344026467</v>
          </cell>
          <cell r="E129">
            <v>0.16407018545504823</v>
          </cell>
          <cell r="F129">
            <v>0.16483982666793517</v>
          </cell>
          <cell r="G129">
            <v>9.0202668326059571E-3</v>
          </cell>
          <cell r="H129">
            <v>4.1638601524909245E-3</v>
          </cell>
          <cell r="I129">
            <v>2.340127126113149E-3</v>
          </cell>
        </row>
        <row r="130">
          <cell r="A130" t="str">
            <v>T_C-ICE-NGA-S1</v>
          </cell>
          <cell r="B130" t="str">
            <v>VAR_fout</v>
          </cell>
          <cell r="C130" t="str">
            <v>TPCAR</v>
          </cell>
          <cell r="D130">
            <v>2.2159513147199002E-3</v>
          </cell>
          <cell r="E130">
            <v>1.7913881004988849E-3</v>
          </cell>
          <cell r="F130">
            <v>1.7962265817508599E-3</v>
          </cell>
          <cell r="G130">
            <v>9.929847713531403E-5</v>
          </cell>
          <cell r="H130">
            <v>4.6240952366360874E-5</v>
          </cell>
          <cell r="I130">
            <v>2.8812126032983872E-5</v>
          </cell>
        </row>
        <row r="131">
          <cell r="A131" t="str">
            <v>T_C-ICE-NGA-S1</v>
          </cell>
          <cell r="B131" t="str">
            <v>VAR_fin</v>
          </cell>
          <cell r="C131" t="str">
            <v>TNGA</v>
          </cell>
          <cell r="D131">
            <v>3.6010094752242251E-3</v>
          </cell>
          <cell r="E131">
            <v>2.9090458414015603E-3</v>
          </cell>
          <cell r="F131">
            <v>2.9226919621974444E-3</v>
          </cell>
          <cell r="G131">
            <v>1.599338090887583E-4</v>
          </cell>
          <cell r="H131">
            <v>7.3827307668278966E-5</v>
          </cell>
          <cell r="I131">
            <v>4.1491615711226063E-5</v>
          </cell>
        </row>
        <row r="132">
          <cell r="A132" t="str">
            <v>T_C-ICE-NGA-S1</v>
          </cell>
          <cell r="B132" t="str">
            <v>VAR_ncap</v>
          </cell>
          <cell r="C132" t="str">
            <v>-</v>
          </cell>
          <cell r="E132">
            <v>2.7402463567236101E-6</v>
          </cell>
          <cell r="F132">
            <v>2.8237205823394202E-6</v>
          </cell>
          <cell r="G132">
            <v>1.0565745704553201E-6</v>
          </cell>
          <cell r="H132">
            <v>2.5449593644121698E-6</v>
          </cell>
          <cell r="I132">
            <v>1.9946029923287201E-6</v>
          </cell>
        </row>
        <row r="133">
          <cell r="A133" t="str">
            <v>T_C-ICE-NGA-S1</v>
          </cell>
          <cell r="B133" t="str">
            <v>VAR_cap</v>
          </cell>
          <cell r="C133" t="str">
            <v>-</v>
          </cell>
          <cell r="D133">
            <v>2.5621798184656091E-4</v>
          </cell>
          <cell r="E133">
            <v>2.5973471147686659E-4</v>
          </cell>
          <cell r="F133">
            <v>2.6221831075895567E-4</v>
          </cell>
          <cell r="G133">
            <v>1.386498854837322E-5</v>
          </cell>
          <cell r="H133">
            <v>6.2217141976607778E-6</v>
          </cell>
          <cell r="I133">
            <v>3.9383633499336999E-6</v>
          </cell>
        </row>
        <row r="134">
          <cell r="A134" t="str">
            <v>D-T-ELC-car</v>
          </cell>
          <cell r="B134" t="str">
            <v>VAR_fout</v>
          </cell>
          <cell r="C134" t="str">
            <v>T-ELC-car</v>
          </cell>
          <cell r="D134">
            <v>0.73830776489721262</v>
          </cell>
          <cell r="E134">
            <v>1.7229922561290187</v>
          </cell>
          <cell r="F134">
            <v>4.3283374896568576</v>
          </cell>
          <cell r="G134">
            <v>13.112111586376676</v>
          </cell>
          <cell r="H134">
            <v>23.595120689793504</v>
          </cell>
          <cell r="I134">
            <v>23.464499838551628</v>
          </cell>
        </row>
        <row r="135">
          <cell r="A135" t="str">
            <v>D-T-ELC-car</v>
          </cell>
          <cell r="B135" t="str">
            <v>VAR_fin</v>
          </cell>
          <cell r="C135" t="str">
            <v>TELC</v>
          </cell>
          <cell r="D135">
            <v>0.73830776489721262</v>
          </cell>
          <cell r="E135">
            <v>1.7229922561290187</v>
          </cell>
          <cell r="F135">
            <v>4.3283374896568576</v>
          </cell>
          <cell r="G135">
            <v>13.112111586376676</v>
          </cell>
          <cell r="H135">
            <v>23.595120689793504</v>
          </cell>
          <cell r="I135">
            <v>23.464499838551628</v>
          </cell>
        </row>
        <row r="136">
          <cell r="A136" t="str">
            <v>D-T-ELC-car</v>
          </cell>
          <cell r="B136" t="str">
            <v>VAR_ncap</v>
          </cell>
          <cell r="C136" t="str">
            <v>-</v>
          </cell>
          <cell r="D136">
            <v>3.4113592970482098E-7</v>
          </cell>
          <cell r="E136">
            <v>2.9113927934249801E-7</v>
          </cell>
          <cell r="F136">
            <v>0.98437038324460202</v>
          </cell>
          <cell r="G136">
            <v>5.8658182916518902</v>
          </cell>
          <cell r="H136">
            <v>5.6556312870589398</v>
          </cell>
          <cell r="I136">
            <v>13.8018337914298</v>
          </cell>
        </row>
        <row r="137">
          <cell r="A137" t="str">
            <v>D-T-ELC-car</v>
          </cell>
          <cell r="B137" t="str">
            <v>VAR_cap</v>
          </cell>
          <cell r="C137" t="str">
            <v>-</v>
          </cell>
          <cell r="D137">
            <v>1.2762582981939796</v>
          </cell>
          <cell r="E137">
            <v>1.276258589333259</v>
          </cell>
          <cell r="F137">
            <v>2.260628972577861</v>
          </cell>
          <cell r="G137">
            <v>8.1264472642297498</v>
          </cell>
          <cell r="H137">
            <v>20.4828724961828</v>
          </cell>
          <cell r="I137">
            <v>22.409775811299401</v>
          </cell>
        </row>
        <row r="138">
          <cell r="A138" t="str">
            <v>T_C-ICE-NGA-S2</v>
          </cell>
          <cell r="B138" t="str">
            <v>VAR_fout</v>
          </cell>
          <cell r="C138" t="str">
            <v>CO2_T</v>
          </cell>
          <cell r="D138">
            <v>3.1517716942574658</v>
          </cell>
          <cell r="E138">
            <v>2.3877116753424548</v>
          </cell>
          <cell r="F138">
            <v>3.2307881242536767</v>
          </cell>
          <cell r="G138">
            <v>1.0341937201295521E-2</v>
          </cell>
          <cell r="H138">
            <v>9.9567085289002308E-3</v>
          </cell>
          <cell r="I138">
            <v>5.5557537931990595E-3</v>
          </cell>
        </row>
        <row r="139">
          <cell r="A139" t="str">
            <v>T_C-ICE-NGA-S2</v>
          </cell>
          <cell r="B139" t="str">
            <v>VAR_fout</v>
          </cell>
          <cell r="C139" t="str">
            <v>TPCAR</v>
          </cell>
          <cell r="D139">
            <v>3.5287209193166809E-2</v>
          </cell>
          <cell r="E139">
            <v>2.6468945101585182E-2</v>
          </cell>
          <cell r="F139">
            <v>3.5771511035785249E-2</v>
          </cell>
          <cell r="G139">
            <v>9.8054678791957952E-5</v>
          </cell>
          <cell r="H139">
            <v>8.8384436754125012E-5</v>
          </cell>
          <cell r="I139">
            <v>5.4816541960628588E-5</v>
          </cell>
        </row>
        <row r="140">
          <cell r="A140" t="str">
            <v>T_C-ICE-NGA-S2</v>
          </cell>
          <cell r="B140" t="str">
            <v>VAR_fin</v>
          </cell>
          <cell r="C140" t="str">
            <v>TNGA</v>
          </cell>
          <cell r="D140">
            <v>5.5882476848536589E-2</v>
          </cell>
          <cell r="E140">
            <v>4.2335313392596795E-2</v>
          </cell>
          <cell r="F140">
            <v>5.7283477380384244E-2</v>
          </cell>
          <cell r="G140">
            <v>1.8336768087403408E-4</v>
          </cell>
          <cell r="H140">
            <v>1.7653738526418874E-4</v>
          </cell>
          <cell r="I140">
            <v>9.8506272929061304E-5</v>
          </cell>
        </row>
        <row r="141">
          <cell r="A141" t="str">
            <v>T_C-ICE-NGA-S2</v>
          </cell>
          <cell r="B141" t="str">
            <v>VAR_ncap</v>
          </cell>
          <cell r="C141" t="str">
            <v>-</v>
          </cell>
          <cell r="E141">
            <v>1.5645156783864401E-6</v>
          </cell>
          <cell r="F141">
            <v>1.9679887058351398E-6</v>
          </cell>
          <cell r="G141">
            <v>1.18000628139957E-6</v>
          </cell>
          <cell r="H141">
            <v>2.8441752464125902E-6</v>
          </cell>
          <cell r="I141">
            <v>2.3785025617061202E-6</v>
          </cell>
        </row>
        <row r="142">
          <cell r="A142" t="str">
            <v>T_C-ICE-NGA-S2</v>
          </cell>
          <cell r="B142" t="str">
            <v>VAR_cap</v>
          </cell>
          <cell r="C142" t="str">
            <v>-</v>
          </cell>
          <cell r="D142">
            <v>2.6900567444935832E-3</v>
          </cell>
          <cell r="E142">
            <v>2.7504430694196124E-3</v>
          </cell>
          <cell r="F142">
            <v>2.7196231758893994E-3</v>
          </cell>
          <cell r="G142">
            <v>7.288175164324711E-6</v>
          </cell>
          <cell r="H142">
            <v>7.4275578849358494E-6</v>
          </cell>
          <cell r="I142">
            <v>4.6650060735975798E-6</v>
          </cell>
        </row>
        <row r="143">
          <cell r="A143" t="str">
            <v>TFLGV-ICEDSL</v>
          </cell>
          <cell r="B143" t="str">
            <v>VAR_fout</v>
          </cell>
          <cell r="C143" t="str">
            <v>CO2_T</v>
          </cell>
          <cell r="D143">
            <v>325.884528913944</v>
          </cell>
          <cell r="E143">
            <v>384.69960426404617</v>
          </cell>
          <cell r="F143">
            <v>384.74095111874954</v>
          </cell>
          <cell r="G143">
            <v>153.73782122417902</v>
          </cell>
          <cell r="H143">
            <v>26.404474763548833</v>
          </cell>
          <cell r="I143">
            <v>4.7454651517048081</v>
          </cell>
        </row>
        <row r="144">
          <cell r="A144" t="str">
            <v>TFLGV-ICEDSL</v>
          </cell>
          <cell r="B144" t="str">
            <v>VAR_fout</v>
          </cell>
          <cell r="C144" t="str">
            <v>TFLGV</v>
          </cell>
          <cell r="D144">
            <v>1.5210071902354436</v>
          </cell>
          <cell r="E144">
            <v>1.7955159335620343</v>
          </cell>
          <cell r="F144">
            <v>1.7957089125399188</v>
          </cell>
          <cell r="G144">
            <v>0.71754351847385944</v>
          </cell>
          <cell r="H144">
            <v>0.12323811781919058</v>
          </cell>
          <cell r="I144">
            <v>2.2148601655958809E-2</v>
          </cell>
        </row>
        <row r="145">
          <cell r="A145" t="str">
            <v>TFLGV-ICEDSL</v>
          </cell>
          <cell r="B145" t="str">
            <v>VAR_fin</v>
          </cell>
          <cell r="C145" t="str">
            <v>TDSL</v>
          </cell>
          <cell r="D145">
            <v>4.4459008037372998</v>
          </cell>
          <cell r="E145">
            <v>5.2482892805463282</v>
          </cell>
          <cell r="F145">
            <v>5.2488533576909777</v>
          </cell>
          <cell r="G145">
            <v>2.0973781885972538</v>
          </cell>
          <cell r="H145">
            <v>0.3602247580293152</v>
          </cell>
          <cell r="I145">
            <v>6.4740315848633156E-2</v>
          </cell>
        </row>
        <row r="146">
          <cell r="A146" t="str">
            <v>TFLGV-ICEDSL</v>
          </cell>
          <cell r="B146" t="str">
            <v>VAR_ncap</v>
          </cell>
          <cell r="C146" t="str">
            <v>-</v>
          </cell>
          <cell r="E146">
            <v>1.36640273989723E-5</v>
          </cell>
          <cell r="F146">
            <v>1.13219594226459E-4</v>
          </cell>
          <cell r="G146">
            <v>9.3995123286991602E-5</v>
          </cell>
          <cell r="H146">
            <v>2.4600282954774799E-5</v>
          </cell>
          <cell r="I146">
            <v>3.6154513958227302E-5</v>
          </cell>
        </row>
        <row r="147">
          <cell r="A147" t="str">
            <v>TFLGV-ICEDSL</v>
          </cell>
          <cell r="B147" t="str">
            <v>VAR_cap</v>
          </cell>
          <cell r="C147" t="str">
            <v>-</v>
          </cell>
          <cell r="D147">
            <v>0.10616866138911343</v>
          </cell>
          <cell r="E147">
            <v>0.12516944428864377</v>
          </cell>
          <cell r="F147">
            <v>0.12528278386946989</v>
          </cell>
          <cell r="G147">
            <v>7.1061937722699628E-2</v>
          </cell>
          <cell r="H147">
            <v>1.2190009048206624E-2</v>
          </cell>
          <cell r="I147">
            <v>2.1804587385056131E-3</v>
          </cell>
        </row>
        <row r="148">
          <cell r="A148" t="str">
            <v>T_C-ICE-NGA-S3</v>
          </cell>
          <cell r="B148" t="str">
            <v>VAR_fout</v>
          </cell>
          <cell r="C148" t="str">
            <v>CO2_T</v>
          </cell>
          <cell r="D148">
            <v>0.24468888837915831</v>
          </cell>
          <cell r="E148">
            <v>0.21602389224786697</v>
          </cell>
          <cell r="F148">
            <v>0.27296145546787021</v>
          </cell>
          <cell r="G148">
            <v>3.1760353293521462E-2</v>
          </cell>
          <cell r="H148">
            <v>1.6468295862663095E-2</v>
          </cell>
          <cell r="I148">
            <v>1.140220309304886E-2</v>
          </cell>
        </row>
        <row r="149">
          <cell r="A149" t="str">
            <v>T_C-ICE-NGA-S3</v>
          </cell>
          <cell r="B149" t="str">
            <v>VAR_fout</v>
          </cell>
          <cell r="C149" t="str">
            <v>TPCAR</v>
          </cell>
          <cell r="D149">
            <v>2.0303139392098221E-3</v>
          </cell>
          <cell r="E149">
            <v>1.8202034921466E-3</v>
          </cell>
          <cell r="F149">
            <v>2.2854679476764761E-3</v>
          </cell>
          <cell r="G149">
            <v>2.7266039771993878E-4</v>
          </cell>
          <cell r="H149">
            <v>1.4071540634133016E-4</v>
          </cell>
          <cell r="I149">
            <v>1.1064119067204539E-4</v>
          </cell>
        </row>
        <row r="150">
          <cell r="A150" t="str">
            <v>T_C-ICE-NGA-S3</v>
          </cell>
          <cell r="B150" t="str">
            <v>VAR_fin</v>
          </cell>
          <cell r="C150" t="str">
            <v>TNGA</v>
          </cell>
          <cell r="D150">
            <v>4.3384554677155752E-3</v>
          </cell>
          <cell r="E150">
            <v>3.8302108554586398E-3</v>
          </cell>
          <cell r="F150">
            <v>4.8397421182246403E-3</v>
          </cell>
          <cell r="G150">
            <v>5.6312683144541518E-4</v>
          </cell>
          <cell r="H150">
            <v>2.9199106139473561E-4</v>
          </cell>
          <cell r="I150">
            <v>2.0216672150795851E-4</v>
          </cell>
        </row>
        <row r="151">
          <cell r="A151" t="str">
            <v>T_C-ICE-NGA-S3</v>
          </cell>
          <cell r="B151" t="str">
            <v>VAR_ncap</v>
          </cell>
          <cell r="C151" t="str">
            <v>-</v>
          </cell>
          <cell r="E151">
            <v>1.8372777810419501E-6</v>
          </cell>
          <cell r="F151">
            <v>1.9315415417763801E-6</v>
          </cell>
          <cell r="G151">
            <v>1.2902050496359599E-6</v>
          </cell>
          <cell r="H151">
            <v>3.8585818574156301E-6</v>
          </cell>
          <cell r="I151">
            <v>5.0982092802684996E-6</v>
          </cell>
        </row>
        <row r="152">
          <cell r="A152" t="str">
            <v>T_C-ICE-NGA-S3</v>
          </cell>
          <cell r="B152" t="str">
            <v>VAR_cap</v>
          </cell>
          <cell r="C152" t="str">
            <v>-</v>
          </cell>
          <cell r="D152">
            <v>1.5106364514614362E-4</v>
          </cell>
          <cell r="E152">
            <v>1.5943400643295125E-4</v>
          </cell>
          <cell r="F152">
            <v>1.6044830779284161E-4</v>
          </cell>
          <cell r="G152">
            <v>1.7804784242188287E-5</v>
          </cell>
          <cell r="H152">
            <v>1.0123213572078601E-5</v>
          </cell>
          <cell r="I152">
            <v>7.9924677980638396E-6</v>
          </cell>
        </row>
        <row r="153">
          <cell r="A153" t="str">
            <v>T_C-ICE-NGA-S4</v>
          </cell>
          <cell r="B153" t="str">
            <v>VAR_fout</v>
          </cell>
          <cell r="C153" t="str">
            <v>CO2_T</v>
          </cell>
          <cell r="D153">
            <v>2.7215510025724408</v>
          </cell>
          <cell r="E153">
            <v>2.659519778622661</v>
          </cell>
          <cell r="F153">
            <v>2.4756224373196174</v>
          </cell>
          <cell r="G153">
            <v>7.0868675162772251E-3</v>
          </cell>
          <cell r="H153">
            <v>1.5748776351451846E-2</v>
          </cell>
          <cell r="I153">
            <v>1.4750445462888541E-2</v>
          </cell>
        </row>
        <row r="154">
          <cell r="A154" t="str">
            <v>T_C-ICE-NGA-S4</v>
          </cell>
          <cell r="B154" t="str">
            <v>VAR_fout</v>
          </cell>
          <cell r="C154" t="str">
            <v>TPCAR</v>
          </cell>
          <cell r="D154">
            <v>3.2942858957754624E-2</v>
          </cell>
          <cell r="E154">
            <v>3.2172929696982794E-2</v>
          </cell>
          <cell r="F154">
            <v>2.9933397201902967E-2</v>
          </cell>
          <cell r="G154">
            <v>6.7206425876849241E-5</v>
          </cell>
          <cell r="H154">
            <v>1.356875050176402E-4</v>
          </cell>
          <cell r="I154">
            <v>1.4759632715747971E-4</v>
          </cell>
        </row>
        <row r="155">
          <cell r="A155" t="str">
            <v>T_C-ICE-NGA-S4</v>
          </cell>
          <cell r="B155" t="str">
            <v>VAR_fin</v>
          </cell>
          <cell r="C155" t="str">
            <v>TNGA</v>
          </cell>
          <cell r="D155">
            <v>4.8254450400220555E-2</v>
          </cell>
          <cell r="E155">
            <v>4.7154606003947865E-2</v>
          </cell>
          <cell r="F155">
            <v>4.3894014846092483E-2</v>
          </cell>
          <cell r="G155">
            <v>1.2565367936661736E-4</v>
          </cell>
          <cell r="H155">
            <v>2.7923362325269212E-4</v>
          </cell>
          <cell r="I155">
            <v>2.6153272097320098E-4</v>
          </cell>
        </row>
        <row r="156">
          <cell r="A156" t="str">
            <v>T_C-ICE-NGA-S4</v>
          </cell>
          <cell r="B156" t="str">
            <v>VAR_ncap</v>
          </cell>
          <cell r="C156" t="str">
            <v>-</v>
          </cell>
          <cell r="E156">
            <v>1.9737270812316598E-6</v>
          </cell>
          <cell r="F156">
            <v>2.11118323334803E-6</v>
          </cell>
          <cell r="G156">
            <v>1.39486681093459E-6</v>
          </cell>
          <cell r="H156">
            <v>4.5774603082846499E-6</v>
          </cell>
          <cell r="I156">
            <v>9.8887119043118706E-6</v>
          </cell>
        </row>
        <row r="157">
          <cell r="A157" t="str">
            <v>T_C-ICE-NGA-S4</v>
          </cell>
          <cell r="B157" t="str">
            <v>VAR_cap</v>
          </cell>
          <cell r="C157" t="str">
            <v>-</v>
          </cell>
          <cell r="D157">
            <v>2.6074482428115001E-3</v>
          </cell>
          <cell r="E157">
            <v>2.5354624427597239E-3</v>
          </cell>
          <cell r="F157">
            <v>2.3613103601376807E-3</v>
          </cell>
          <cell r="G157">
            <v>5.3086531081028478E-6</v>
          </cell>
          <cell r="H157">
            <v>1.1709209025921967E-5</v>
          </cell>
          <cell r="I157">
            <v>1.2692236750107399E-5</v>
          </cell>
        </row>
        <row r="158">
          <cell r="A158" t="str">
            <v>T_C-MHY-GSL-S1</v>
          </cell>
          <cell r="B158" t="str">
            <v>VAR_fout</v>
          </cell>
          <cell r="C158" t="str">
            <v>CO2_T</v>
          </cell>
          <cell r="E158">
            <v>3.4589670444520798E-2</v>
          </cell>
          <cell r="F158">
            <v>15.782094580331151</v>
          </cell>
          <cell r="G158">
            <v>14.030320747182671</v>
          </cell>
          <cell r="H158">
            <v>1.4788444415345579</v>
          </cell>
          <cell r="I158">
            <v>3.4592334292752311E-2</v>
          </cell>
        </row>
        <row r="159">
          <cell r="A159" t="str">
            <v>T_C-MHY-GSL-S1</v>
          </cell>
          <cell r="B159" t="str">
            <v>VAR_fout</v>
          </cell>
          <cell r="C159" t="str">
            <v>TPCAR</v>
          </cell>
          <cell r="E159">
            <v>2.4296022441640217E-4</v>
          </cell>
          <cell r="F159">
            <v>0.11814852915349014</v>
          </cell>
          <cell r="G159">
            <v>0.10515927175912758</v>
          </cell>
          <cell r="H159">
            <v>1.1284380853371712E-2</v>
          </cell>
          <cell r="I159">
            <v>3.484858869846126E-4</v>
          </cell>
        </row>
        <row r="160">
          <cell r="A160" t="str">
            <v>T_C-MHY-GSL-S1</v>
          </cell>
          <cell r="B160" t="str">
            <v>VAR_fin</v>
          </cell>
          <cell r="C160" t="str">
            <v>TGSL</v>
          </cell>
          <cell r="E160">
            <v>4.6869472147047139E-4</v>
          </cell>
          <cell r="F160">
            <v>0.21384952005868824</v>
          </cell>
          <cell r="G160">
            <v>0.19011274725179728</v>
          </cell>
          <cell r="H160">
            <v>2.0038542568218947E-2</v>
          </cell>
          <cell r="I160">
            <v>4.6873081697496245E-4</v>
          </cell>
        </row>
        <row r="161">
          <cell r="A161" t="str">
            <v>T_C-MHY-GSL-S1</v>
          </cell>
          <cell r="B161" t="str">
            <v>VAR_ncap</v>
          </cell>
          <cell r="C161" t="str">
            <v>-</v>
          </cell>
          <cell r="E161">
            <v>2.8986112014358099E-5</v>
          </cell>
          <cell r="F161">
            <v>1.8165542549573199E-2</v>
          </cell>
          <cell r="G161">
            <v>2.1106244871512699E-4</v>
          </cell>
          <cell r="H161">
            <v>4.14895656624738E-5</v>
          </cell>
          <cell r="I161">
            <v>1.090866632052E-5</v>
          </cell>
        </row>
        <row r="162">
          <cell r="A162" t="str">
            <v>T_C-MHY-GSL-S1</v>
          </cell>
          <cell r="B162" t="str">
            <v>VAR_cap</v>
          </cell>
          <cell r="C162" t="str">
            <v>-</v>
          </cell>
          <cell r="E162">
            <v>2.8600215530585601E-5</v>
          </cell>
          <cell r="F162">
            <v>1.79506651169807E-2</v>
          </cell>
          <cell r="G162">
            <v>1.5979359617114601E-2</v>
          </cell>
          <cell r="H162">
            <v>1.7100511177333699E-3</v>
          </cell>
          <cell r="I162">
            <v>5.1675216218481103E-5</v>
          </cell>
        </row>
        <row r="163">
          <cell r="A163" t="str">
            <v>T_TRLY_ELC</v>
          </cell>
          <cell r="B163" t="str">
            <v>VAR_fout</v>
          </cell>
          <cell r="C163" t="str">
            <v>TPTRLY</v>
          </cell>
          <cell r="D163">
            <v>2.7120999999999972E-2</v>
          </cell>
          <cell r="E163">
            <v>2.7782165745480814E-2</v>
          </cell>
          <cell r="F163">
            <v>2.8832315767707572E-2</v>
          </cell>
          <cell r="G163">
            <v>3.0543631535415186E-2</v>
          </cell>
          <cell r="H163">
            <v>3.2006602244411902E-2</v>
          </cell>
          <cell r="I163">
            <v>3.3071687199031086E-2</v>
          </cell>
        </row>
        <row r="164">
          <cell r="A164" t="str">
            <v>T_TRLY_ELC</v>
          </cell>
          <cell r="B164" t="str">
            <v>VAR_fin</v>
          </cell>
          <cell r="C164" t="str">
            <v>TELC</v>
          </cell>
          <cell r="D164">
            <v>0.2816422643485601</v>
          </cell>
          <cell r="E164">
            <v>0.30668648626079364</v>
          </cell>
          <cell r="F164">
            <v>0.35149986092475399</v>
          </cell>
          <cell r="G164">
            <v>0.45078090930791764</v>
          </cell>
          <cell r="H164">
            <v>0.47237229295618205</v>
          </cell>
          <cell r="I164">
            <v>0.48809144422268164</v>
          </cell>
        </row>
        <row r="165">
          <cell r="A165" t="str">
            <v>T_C-MHY-GSL-S2</v>
          </cell>
          <cell r="B165" t="str">
            <v>VAR_fout</v>
          </cell>
          <cell r="C165" t="str">
            <v>CO2_T</v>
          </cell>
          <cell r="E165">
            <v>2.4608049543900699E-2</v>
          </cell>
          <cell r="F165">
            <v>0.1555257125776596</v>
          </cell>
          <cell r="G165">
            <v>0.37540064503952708</v>
          </cell>
          <cell r="H165">
            <v>0.23498417525580861</v>
          </cell>
          <cell r="I165">
            <v>5.5658884981827403E-2</v>
          </cell>
        </row>
        <row r="166">
          <cell r="A166" t="str">
            <v>T_C-MHY-GSL-S2</v>
          </cell>
          <cell r="B166" t="str">
            <v>VAR_fout</v>
          </cell>
          <cell r="C166" t="str">
            <v>TPCAR</v>
          </cell>
          <cell r="E166">
            <v>1.3915789070997238E-4</v>
          </cell>
          <cell r="F166">
            <v>9.3184362113207667E-4</v>
          </cell>
          <cell r="G166">
            <v>2.4241237582492362E-3</v>
          </cell>
          <cell r="H166">
            <v>1.7022552069432821E-3</v>
          </cell>
          <cell r="I166">
            <v>4.6575453404056348E-4</v>
          </cell>
        </row>
        <row r="167">
          <cell r="A167" t="str">
            <v>T_C-MHY-GSL-S2</v>
          </cell>
          <cell r="B167" t="str">
            <v>VAR_fin</v>
          </cell>
          <cell r="C167" t="str">
            <v>TGSL</v>
          </cell>
          <cell r="E167">
            <v>3.3344240574391219E-4</v>
          </cell>
          <cell r="F167">
            <v>2.107394479372084E-3</v>
          </cell>
          <cell r="G167">
            <v>5.0867296075816585E-3</v>
          </cell>
          <cell r="H167">
            <v>3.1840674153903593E-3</v>
          </cell>
          <cell r="I167">
            <v>7.5418543335809408E-4</v>
          </cell>
        </row>
        <row r="168">
          <cell r="A168" t="str">
            <v>T_C-MHY-GSL-S2</v>
          </cell>
          <cell r="B168" t="str">
            <v>VAR_ncap</v>
          </cell>
          <cell r="C168" t="str">
            <v>-</v>
          </cell>
          <cell r="E168">
            <v>1.1535772509762201E-5</v>
          </cell>
          <cell r="F168">
            <v>7.4607673651945505E-5</v>
          </cell>
          <cell r="G168">
            <v>1.70544538945751E-4</v>
          </cell>
          <cell r="H168">
            <v>3.3093547544799001E-5</v>
          </cell>
          <cell r="I168">
            <v>1.2241482471467001E-5</v>
          </cell>
        </row>
        <row r="169">
          <cell r="A169" t="str">
            <v>T_C-MHY-GSL-S2</v>
          </cell>
          <cell r="B169" t="str">
            <v>VAR_cap</v>
          </cell>
          <cell r="C169" t="str">
            <v>-</v>
          </cell>
          <cell r="E169">
            <v>1.13821950293843E-5</v>
          </cell>
          <cell r="F169">
            <v>8.4345103615939105E-5</v>
          </cell>
          <cell r="G169">
            <v>2.3503266146032001E-4</v>
          </cell>
          <cell r="H169">
            <v>1.6634470849579699E-4</v>
          </cell>
          <cell r="I169">
            <v>4.56559694638636E-5</v>
          </cell>
        </row>
        <row r="170">
          <cell r="A170" t="str">
            <v>T_C-MHY-DSL-S1</v>
          </cell>
          <cell r="B170" t="str">
            <v>VAR_fout</v>
          </cell>
          <cell r="C170" t="str">
            <v>CO2_T</v>
          </cell>
          <cell r="E170">
            <v>2.9376218169737699E-2</v>
          </cell>
          <cell r="F170">
            <v>10.247050297813704</v>
          </cell>
          <cell r="G170">
            <v>113.89280357345471</v>
          </cell>
          <cell r="H170">
            <v>46.635658552437199</v>
          </cell>
          <cell r="I170">
            <v>1.0272219650757068</v>
          </cell>
        </row>
        <row r="171">
          <cell r="A171" t="str">
            <v>T_C-MHY-DSL-S1</v>
          </cell>
          <cell r="B171" t="str">
            <v>VAR_fout</v>
          </cell>
          <cell r="C171" t="str">
            <v>TPCAR</v>
          </cell>
          <cell r="E171">
            <v>2.2524523771434615E-4</v>
          </cell>
          <cell r="F171">
            <v>8.2812953737148823E-2</v>
          </cell>
          <cell r="G171">
            <v>0.99307854632134973</v>
          </cell>
          <cell r="H171">
            <v>0.41154752711387171</v>
          </cell>
          <cell r="I171">
            <v>9.9532940922538882E-3</v>
          </cell>
        </row>
        <row r="172">
          <cell r="A172" t="str">
            <v>T_C-MHY-DSL-S1</v>
          </cell>
          <cell r="B172" t="str">
            <v>VAR_fin</v>
          </cell>
          <cell r="C172" t="str">
            <v>TDSL</v>
          </cell>
          <cell r="E172">
            <v>4.0076696002370701E-4</v>
          </cell>
          <cell r="F172">
            <v>0.1397960477191498</v>
          </cell>
          <cell r="G172">
            <v>1.5537899532531316</v>
          </cell>
          <cell r="H172">
            <v>0.63622999389409574</v>
          </cell>
          <cell r="I172">
            <v>1.4013942224770906E-2</v>
          </cell>
        </row>
        <row r="173">
          <cell r="A173" t="str">
            <v>T_C-MHY-DSL-S1</v>
          </cell>
          <cell r="B173" t="str">
            <v>VAR_ncap</v>
          </cell>
          <cell r="C173" t="str">
            <v>-</v>
          </cell>
          <cell r="E173">
            <v>2.6692611516077699E-5</v>
          </cell>
          <cell r="F173">
            <v>1.2724999447248799E-2</v>
          </cell>
          <cell r="G173">
            <v>0.14751304604137899</v>
          </cell>
          <cell r="H173">
            <v>1.7259207284540801E-4</v>
          </cell>
          <cell r="I173">
            <v>1.8240235244795301E-5</v>
          </cell>
        </row>
        <row r="174">
          <cell r="A174" t="str">
            <v>T_C-MHY-DSL-S1</v>
          </cell>
          <cell r="B174" t="str">
            <v>VAR_cap</v>
          </cell>
          <cell r="C174" t="str">
            <v>-</v>
          </cell>
          <cell r="E174">
            <v>2.63372487505692E-5</v>
          </cell>
          <cell r="F174">
            <v>1.25804193485101E-2</v>
          </cell>
          <cell r="G174">
            <v>0.15092086738049801</v>
          </cell>
          <cell r="H174">
            <v>6.2538501210240793E-2</v>
          </cell>
          <cell r="I174">
            <v>1.5107788280309599E-3</v>
          </cell>
        </row>
        <row r="175">
          <cell r="A175" t="str">
            <v>T_C-MHY-GSL-S3</v>
          </cell>
          <cell r="B175" t="str">
            <v>VAR_fout</v>
          </cell>
          <cell r="C175" t="str">
            <v>CO2_T</v>
          </cell>
          <cell r="E175">
            <v>3.6548912538171899E-2</v>
          </cell>
          <cell r="F175">
            <v>0.1514851987417179</v>
          </cell>
          <cell r="G175">
            <v>0.2871618791760886</v>
          </cell>
          <cell r="H175">
            <v>0.20664565263307422</v>
          </cell>
          <cell r="I175">
            <v>6.9852940676429193E-2</v>
          </cell>
        </row>
        <row r="176">
          <cell r="A176" t="str">
            <v>T_C-MHY-GSL-S3</v>
          </cell>
          <cell r="B176" t="str">
            <v>VAR_fout</v>
          </cell>
          <cell r="C176" t="str">
            <v>TPCAR</v>
          </cell>
          <cell r="E176">
            <v>1.9213927244446973E-4</v>
          </cell>
          <cell r="F176">
            <v>8.3995163253513226E-4</v>
          </cell>
          <cell r="G176">
            <v>1.6999363645855889E-3</v>
          </cell>
          <cell r="H176">
            <v>1.431854074811347E-3</v>
          </cell>
          <cell r="I176">
            <v>5.6404919112813237E-4</v>
          </cell>
        </row>
        <row r="177">
          <cell r="A177" t="str">
            <v>T_C-MHY-GSL-S3</v>
          </cell>
          <cell r="B177" t="str">
            <v>VAR_fin</v>
          </cell>
          <cell r="C177" t="str">
            <v>TGSL</v>
          </cell>
          <cell r="E177">
            <v>4.9524271731940224E-4</v>
          </cell>
          <cell r="F177">
            <v>2.0526449693999689E-3</v>
          </cell>
          <cell r="G177">
            <v>3.8910823736597344E-3</v>
          </cell>
          <cell r="H177">
            <v>2.8000765939440943E-3</v>
          </cell>
          <cell r="I177">
            <v>9.4651681133372959E-4</v>
          </cell>
        </row>
        <row r="178">
          <cell r="A178" t="str">
            <v>T_C-MHY-GSL-S3</v>
          </cell>
          <cell r="B178" t="str">
            <v>VAR_ncap</v>
          </cell>
          <cell r="C178" t="str">
            <v>-</v>
          </cell>
          <cell r="E178">
            <v>1.39110748302087E-5</v>
          </cell>
          <cell r="F178">
            <v>4.8870097056183902E-5</v>
          </cell>
          <cell r="G178">
            <v>7.1471609903179102E-5</v>
          </cell>
          <cell r="H178">
            <v>3.22280148411351E-5</v>
          </cell>
          <cell r="I178">
            <v>1.7271730992073998E-5</v>
          </cell>
        </row>
        <row r="179">
          <cell r="A179" t="str">
            <v>T_C-MHY-GSL-S3</v>
          </cell>
          <cell r="B179" t="str">
            <v>VAR_cap</v>
          </cell>
          <cell r="C179" t="str">
            <v>-</v>
          </cell>
          <cell r="E179">
            <v>1.37258745915628E-5</v>
          </cell>
          <cell r="F179">
            <v>6.1159705693706598E-5</v>
          </cell>
          <cell r="G179">
            <v>1.20545829112224E-4</v>
          </cell>
          <cell r="H179">
            <v>1.07117948159123E-4</v>
          </cell>
          <cell r="I179">
            <v>4.4149371502310103E-5</v>
          </cell>
        </row>
        <row r="180">
          <cell r="A180" t="str">
            <v>T_C-MHY-DSL-S2</v>
          </cell>
          <cell r="B180" t="str">
            <v>VAR_fout</v>
          </cell>
          <cell r="C180" t="str">
            <v>CO2_T</v>
          </cell>
          <cell r="E180">
            <v>2.1271791563556498E-2</v>
          </cell>
          <cell r="F180">
            <v>0.1355536114840479</v>
          </cell>
          <cell r="G180">
            <v>14.457220415358186</v>
          </cell>
          <cell r="H180">
            <v>4.5807298677954593</v>
          </cell>
          <cell r="I180">
            <v>0.13478880534581891</v>
          </cell>
        </row>
        <row r="181">
          <cell r="A181" t="str">
            <v>T_C-MHY-DSL-S2</v>
          </cell>
          <cell r="B181" t="str">
            <v>VAR_fout</v>
          </cell>
          <cell r="C181" t="str">
            <v>TPCAR</v>
          </cell>
          <cell r="E181">
            <v>1.312006544745354E-4</v>
          </cell>
          <cell r="F181">
            <v>8.7739906169153519E-4</v>
          </cell>
          <cell r="G181">
            <v>0.10277250083427752</v>
          </cell>
          <cell r="H181">
            <v>3.2918397428698912E-2</v>
          </cell>
          <cell r="I181">
            <v>1.1454132557327044E-3</v>
          </cell>
        </row>
        <row r="182">
          <cell r="A182" t="str">
            <v>T_C-MHY-DSL-S2</v>
          </cell>
          <cell r="B182" t="str">
            <v>VAR_fin</v>
          </cell>
          <cell r="C182" t="str">
            <v>TDSL</v>
          </cell>
          <cell r="E182">
            <v>2.9020179486434521E-4</v>
          </cell>
          <cell r="F182">
            <v>1.8492989288410287E-3</v>
          </cell>
          <cell r="G182">
            <v>0.19723356637596368</v>
          </cell>
          <cell r="H182">
            <v>6.249290406269388E-2</v>
          </cell>
          <cell r="I182">
            <v>1.8388650115391378E-3</v>
          </cell>
        </row>
        <row r="183">
          <cell r="A183" t="str">
            <v>T_C-MHY-DSL-S2</v>
          </cell>
          <cell r="B183" t="str">
            <v>VAR_ncap</v>
          </cell>
          <cell r="C183" t="str">
            <v>-</v>
          </cell>
          <cell r="E183">
            <v>1.0764650524949599E-5</v>
          </cell>
          <cell r="F183">
            <v>6.7344764646285604E-5</v>
          </cell>
          <cell r="G183">
            <v>8.1571439222233397E-3</v>
          </cell>
          <cell r="H183">
            <v>7.8783796819590799E-5</v>
          </cell>
          <cell r="I183">
            <v>2.30352854336015E-5</v>
          </cell>
        </row>
        <row r="184">
          <cell r="A184" t="str">
            <v>T_C-MHY-DSL-S2</v>
          </cell>
          <cell r="B184" t="str">
            <v>VAR_cap</v>
          </cell>
          <cell r="C184" t="str">
            <v>-</v>
          </cell>
          <cell r="E184">
            <v>1.0621339107931701E-5</v>
          </cell>
          <cell r="F184">
            <v>7.6461581282970798E-5</v>
          </cell>
          <cell r="G184">
            <v>7.8005539305712702E-3</v>
          </cell>
          <cell r="H184">
            <v>3.3873565325603702E-3</v>
          </cell>
          <cell r="I184">
            <v>1.1268074173502699E-4</v>
          </cell>
        </row>
        <row r="185">
          <cell r="A185" t="str">
            <v>T_C-MHY-GSL-S4</v>
          </cell>
          <cell r="B185" t="str">
            <v>VAR_fout</v>
          </cell>
          <cell r="C185" t="str">
            <v>CO2_T</v>
          </cell>
          <cell r="E185">
            <v>4.8452813539509497E-2</v>
          </cell>
          <cell r="F185">
            <v>0.27382141671719928</v>
          </cell>
          <cell r="G185">
            <v>233.07363320985459</v>
          </cell>
          <cell r="H185">
            <v>220.21244559151984</v>
          </cell>
          <cell r="I185">
            <v>201.52166724045509</v>
          </cell>
        </row>
        <row r="186">
          <cell r="A186" t="str">
            <v>T_C-MHY-GSL-S4</v>
          </cell>
          <cell r="B186" t="str">
            <v>VAR_fout</v>
          </cell>
          <cell r="C186" t="str">
            <v>TPCAR</v>
          </cell>
          <cell r="E186">
            <v>2.5823418560342958E-4</v>
          </cell>
          <cell r="F186">
            <v>1.5430448144970021E-3</v>
          </cell>
          <cell r="G186">
            <v>1.4662825094271006</v>
          </cell>
          <cell r="H186">
            <v>1.5757697791340421</v>
          </cell>
          <cell r="I186">
            <v>1.8056062699777113</v>
          </cell>
        </row>
        <row r="187">
          <cell r="A187" t="str">
            <v>T_C-MHY-GSL-S4</v>
          </cell>
          <cell r="B187" t="str">
            <v>VAR_fin</v>
          </cell>
          <cell r="C187" t="str">
            <v>TGSL</v>
          </cell>
          <cell r="E187">
            <v>6.5654218888224251E-4</v>
          </cell>
          <cell r="F187">
            <v>3.710317299691054E-3</v>
          </cell>
          <cell r="G187">
            <v>3.1581793117866406</v>
          </cell>
          <cell r="H187">
            <v>2.9839084768498694</v>
          </cell>
          <cell r="I187">
            <v>2.7306458975671419</v>
          </cell>
        </row>
        <row r="188">
          <cell r="A188" t="str">
            <v>T_C-MHY-GSL-S4</v>
          </cell>
          <cell r="B188" t="str">
            <v>VAR_ncap</v>
          </cell>
          <cell r="C188" t="str">
            <v>-</v>
          </cell>
          <cell r="E188">
            <v>2.1306458813111699E-5</v>
          </cell>
          <cell r="F188">
            <v>1.13138753289559E-4</v>
          </cell>
          <cell r="G188">
            <v>0.121673235412043</v>
          </cell>
          <cell r="H188">
            <v>9.2264414995409702E-2</v>
          </cell>
          <cell r="I188">
            <v>0.168857665026071</v>
          </cell>
        </row>
        <row r="189">
          <cell r="A189" t="str">
            <v>T_C-MHY-GSL-S4</v>
          </cell>
          <cell r="B189" t="str">
            <v>VAR_cap</v>
          </cell>
          <cell r="C189" t="str">
            <v>-</v>
          </cell>
          <cell r="E189">
            <v>2.10228027114051E-5</v>
          </cell>
          <cell r="F189">
            <v>1.31452005175968E-4</v>
          </cell>
          <cell r="G189">
            <v>0.115477055277276</v>
          </cell>
          <cell r="H189">
            <v>0.17712418118056</v>
          </cell>
          <cell r="I189">
            <v>0.203075067113098</v>
          </cell>
        </row>
        <row r="190">
          <cell r="A190" t="str">
            <v>T_C-MHY-DSL-S3</v>
          </cell>
          <cell r="B190" t="str">
            <v>VAR_fout</v>
          </cell>
          <cell r="C190" t="str">
            <v>CO2_T</v>
          </cell>
          <cell r="E190">
            <v>2.9796703285688099E-2</v>
          </cell>
          <cell r="F190">
            <v>0.12873818401204751</v>
          </cell>
          <cell r="G190">
            <v>0.49861753127838548</v>
          </cell>
          <cell r="H190">
            <v>83.318465072120262</v>
          </cell>
          <cell r="I190">
            <v>135.46387084046927</v>
          </cell>
        </row>
        <row r="191">
          <cell r="A191" t="str">
            <v>T_C-MHY-DSL-S3</v>
          </cell>
          <cell r="B191" t="str">
            <v>VAR_fout</v>
          </cell>
          <cell r="C191" t="str">
            <v>TPCAR</v>
          </cell>
          <cell r="E191">
            <v>1.7084588052623928E-4</v>
          </cell>
          <cell r="F191">
            <v>7.7209320867161781E-4</v>
          </cell>
          <cell r="G191">
            <v>3.2312448239302559E-3</v>
          </cell>
          <cell r="H191">
            <v>0.66456475223440103</v>
          </cell>
          <cell r="I191">
            <v>1.2495193647779286</v>
          </cell>
        </row>
        <row r="192">
          <cell r="A192" t="str">
            <v>T_C-MHY-DSL-S3</v>
          </cell>
          <cell r="B192" t="str">
            <v>VAR_fin</v>
          </cell>
          <cell r="C192" t="str">
            <v>TDSL</v>
          </cell>
          <cell r="E192">
            <v>4.0650345546641324E-4</v>
          </cell>
          <cell r="F192">
            <v>1.7563190178996964E-3</v>
          </cell>
          <cell r="G192">
            <v>6.8024219819697897E-3</v>
          </cell>
          <cell r="H192">
            <v>1.1366775589648057</v>
          </cell>
          <cell r="I192">
            <v>1.8480746362956224</v>
          </cell>
        </row>
        <row r="193">
          <cell r="A193" t="str">
            <v>T_C-MHY-DSL-S3</v>
          </cell>
          <cell r="B193" t="str">
            <v>VAR_ncap</v>
          </cell>
          <cell r="C193" t="str">
            <v>-</v>
          </cell>
          <cell r="E193">
            <v>1.2322532320974199E-5</v>
          </cell>
          <cell r="F193">
            <v>4.5134996574777601E-5</v>
          </cell>
          <cell r="G193">
            <v>1.8576405039656799E-4</v>
          </cell>
          <cell r="H193">
            <v>4.5404053156130497E-2</v>
          </cell>
          <cell r="I193">
            <v>7.3059890608852998E-2</v>
          </cell>
        </row>
        <row r="194">
          <cell r="A194" t="str">
            <v>T_C-MHY-DSL-S3</v>
          </cell>
          <cell r="B194" t="str">
            <v>VAR_cap</v>
          </cell>
          <cell r="C194" t="str">
            <v>-</v>
          </cell>
          <cell r="E194">
            <v>1.21584805884934E-5</v>
          </cell>
          <cell r="F194">
            <v>5.5996652733187702E-5</v>
          </cell>
          <cell r="G194">
            <v>2.2448450351880901E-4</v>
          </cell>
          <cell r="H194">
            <v>4.5701500389044601E-2</v>
          </cell>
          <cell r="I194">
            <v>8.5919258509624105E-2</v>
          </cell>
        </row>
        <row r="195">
          <cell r="A195" t="str">
            <v>T_B_c-HYBDSL-S1</v>
          </cell>
          <cell r="B195" t="str">
            <v>VAR_fout</v>
          </cell>
          <cell r="C195" t="str">
            <v>CO2_T</v>
          </cell>
          <cell r="E195">
            <v>0.10178649693575401</v>
          </cell>
          <cell r="F195">
            <v>0.13335045593695941</v>
          </cell>
          <cell r="G195">
            <v>7.4487228747935008E-2</v>
          </cell>
          <cell r="H195">
            <v>0.38812442577953077</v>
          </cell>
          <cell r="I195">
            <v>0.14544939450497291</v>
          </cell>
        </row>
        <row r="196">
          <cell r="A196" t="str">
            <v>T_B_c-HYBDSL-S1</v>
          </cell>
          <cell r="B196" t="str">
            <v>VAR_fout</v>
          </cell>
          <cell r="C196" t="str">
            <v>TPBSc</v>
          </cell>
          <cell r="E196">
            <v>2.2567121685397105E-4</v>
          </cell>
          <cell r="F196">
            <v>2.993183897182301E-4</v>
          </cell>
          <cell r="G196">
            <v>1.7765450598771274E-4</v>
          </cell>
          <cell r="H196">
            <v>1.0384337642646978E-3</v>
          </cell>
          <cell r="I196">
            <v>4.1805428579426792E-4</v>
          </cell>
        </row>
        <row r="197">
          <cell r="A197" t="str">
            <v>T_B_c-HYBDSL-S1</v>
          </cell>
          <cell r="B197" t="str">
            <v>VAR_fin</v>
          </cell>
          <cell r="C197" t="str">
            <v>TDSL</v>
          </cell>
          <cell r="E197">
            <v>1.3886288804332114E-3</v>
          </cell>
          <cell r="F197">
            <v>1.8192422365205887E-3</v>
          </cell>
          <cell r="G197">
            <v>1.0161968451287186E-3</v>
          </cell>
          <cell r="H197">
            <v>5.2950126300072417E-3</v>
          </cell>
          <cell r="I197">
            <v>1.9843027899723452E-3</v>
          </cell>
        </row>
        <row r="198">
          <cell r="A198" t="str">
            <v>T_B_c-HYBDSL-S1</v>
          </cell>
          <cell r="B198" t="str">
            <v>VAR_ncap</v>
          </cell>
          <cell r="C198" t="str">
            <v>-</v>
          </cell>
          <cell r="E198">
            <v>5.0138656197626696E-6</v>
          </cell>
          <cell r="F198">
            <v>1.7667490366239901E-6</v>
          </cell>
          <cell r="G198">
            <v>1.9249212926405002E-6</v>
          </cell>
          <cell r="H198">
            <v>4.2413833538993201E-6</v>
          </cell>
          <cell r="I198">
            <v>4.94905541424577E-6</v>
          </cell>
        </row>
        <row r="199">
          <cell r="A199" t="str">
            <v>T_B_c-HYBDSL-S1</v>
          </cell>
          <cell r="B199" t="str">
            <v>VAR_cap</v>
          </cell>
          <cell r="C199" t="str">
            <v>-</v>
          </cell>
          <cell r="E199">
            <v>5.0138656197626696E-6</v>
          </cell>
          <cell r="F199">
            <v>6.7658721687586431E-6</v>
          </cell>
          <cell r="G199">
            <v>4.3945729716407302E-6</v>
          </cell>
          <cell r="H199">
            <v>2.295060597823064E-5</v>
          </cell>
          <cell r="I199">
            <v>1.029992077934542E-5</v>
          </cell>
        </row>
        <row r="200">
          <cell r="A200" t="str">
            <v>T_C-MHY-DSL-S4</v>
          </cell>
          <cell r="B200" t="str">
            <v>VAR_fout</v>
          </cell>
          <cell r="C200" t="str">
            <v>CO2_T</v>
          </cell>
          <cell r="E200">
            <v>1.9570759494560799E-2</v>
          </cell>
          <cell r="F200">
            <v>5.5606751393387804E-2</v>
          </cell>
          <cell r="G200">
            <v>9.3856018551721196E-2</v>
          </cell>
          <cell r="H200">
            <v>0.11560901011166354</v>
          </cell>
          <cell r="I200">
            <v>6.6228044200597608E-2</v>
          </cell>
        </row>
        <row r="201">
          <cell r="A201" t="str">
            <v>T_C-MHY-DSL-S4</v>
          </cell>
          <cell r="B201" t="str">
            <v>VAR_fout</v>
          </cell>
          <cell r="C201" t="str">
            <v>TPCAR</v>
          </cell>
          <cell r="E201">
            <v>1.0664703296315862E-4</v>
          </cell>
          <cell r="F201">
            <v>3.1490712763972476E-4</v>
          </cell>
          <cell r="G201">
            <v>5.5919846374788439E-4</v>
          </cell>
          <cell r="H201">
            <v>8.149672607422005E-4</v>
          </cell>
          <cell r="I201">
            <v>5.3657206473830437E-4</v>
          </cell>
        </row>
        <row r="202">
          <cell r="A202" t="str">
            <v>T_C-MHY-DSL-S4</v>
          </cell>
          <cell r="B202" t="str">
            <v>VAR_fin</v>
          </cell>
          <cell r="C202" t="str">
            <v>TDSL</v>
          </cell>
          <cell r="E202">
            <v>2.6699535463247992E-4</v>
          </cell>
          <cell r="F202">
            <v>7.5861870932316213E-4</v>
          </cell>
          <cell r="G202">
            <v>1.2804368151667286E-3</v>
          </cell>
          <cell r="H202">
            <v>1.5772034121645769E-3</v>
          </cell>
          <cell r="I202">
            <v>9.0352038472848062E-4</v>
          </cell>
        </row>
        <row r="203">
          <cell r="A203" t="str">
            <v>T_C-MHY-DSL-S4</v>
          </cell>
          <cell r="B203" t="str">
            <v>VAR_ncap</v>
          </cell>
          <cell r="C203" t="str">
            <v>-</v>
          </cell>
          <cell r="E203">
            <v>8.9217006113807102E-6</v>
          </cell>
          <cell r="F203">
            <v>1.9614304605374201E-5</v>
          </cell>
          <cell r="G203">
            <v>2.46122344291187E-5</v>
          </cell>
          <cell r="H203">
            <v>3.1485716527944197E-5</v>
          </cell>
          <cell r="I203">
            <v>2.5306440077966301E-5</v>
          </cell>
        </row>
        <row r="204">
          <cell r="A204" t="str">
            <v>T_C-MHY-DSL-S4</v>
          </cell>
          <cell r="B204" t="str">
            <v>VAR_cap</v>
          </cell>
          <cell r="C204" t="str">
            <v>-</v>
          </cell>
          <cell r="E204">
            <v>8.8029246646963802E-6</v>
          </cell>
          <cell r="F204">
            <v>2.7652233263540599E-5</v>
          </cell>
          <cell r="G204">
            <v>4.7012841491189497E-5</v>
          </cell>
          <cell r="H204">
            <v>7.0202993101030694E-5</v>
          </cell>
          <cell r="I204">
            <v>4.5997940948600802E-5</v>
          </cell>
        </row>
        <row r="205">
          <cell r="A205" t="str">
            <v>T_B_c-HYBDSL-S2</v>
          </cell>
          <cell r="B205" t="str">
            <v>VAR_fout</v>
          </cell>
          <cell r="C205" t="str">
            <v>CO2_T</v>
          </cell>
          <cell r="E205">
            <v>2.7067704187039899E-2</v>
          </cell>
          <cell r="F205">
            <v>3.3858077920682579</v>
          </cell>
          <cell r="G205">
            <v>19.563429846365068</v>
          </cell>
          <cell r="H205">
            <v>17.45054717407962</v>
          </cell>
          <cell r="I205">
            <v>15.921940659786245</v>
          </cell>
        </row>
        <row r="206">
          <cell r="A206" t="str">
            <v>T_B_c-HYBDSL-S2</v>
          </cell>
          <cell r="B206" t="str">
            <v>VAR_fout</v>
          </cell>
          <cell r="C206" t="str">
            <v>TPBSc</v>
          </cell>
          <cell r="E206">
            <v>4.3018053953228794E-5</v>
          </cell>
          <cell r="F206">
            <v>5.6495481289347647E-3</v>
          </cell>
          <cell r="G206">
            <v>3.4810733205222086E-2</v>
          </cell>
          <cell r="H206">
            <v>3.4240102601435736E-2</v>
          </cell>
          <cell r="I206">
            <v>3.3620392795870438E-2</v>
          </cell>
        </row>
        <row r="207">
          <cell r="A207" t="str">
            <v>T_B_c-HYBDSL-S2</v>
          </cell>
          <cell r="B207" t="str">
            <v>VAR_fin</v>
          </cell>
          <cell r="C207" t="str">
            <v>TDSL</v>
          </cell>
          <cell r="E207">
            <v>3.6927290841800707E-4</v>
          </cell>
          <cell r="F207">
            <v>4.6191102211026763E-2</v>
          </cell>
          <cell r="G207">
            <v>0.26689535943199261</v>
          </cell>
          <cell r="H207">
            <v>0.23807022065592987</v>
          </cell>
          <cell r="I207">
            <v>0.2172161072276432</v>
          </cell>
        </row>
        <row r="208">
          <cell r="A208" t="str">
            <v>T_B_c-HYBDSL-S2</v>
          </cell>
          <cell r="B208" t="str">
            <v>VAR_ncap</v>
          </cell>
          <cell r="C208" t="str">
            <v>-</v>
          </cell>
          <cell r="E208">
            <v>9.8797180481737102E-7</v>
          </cell>
          <cell r="F208">
            <v>1.21868301696849E-4</v>
          </cell>
          <cell r="G208">
            <v>6.3376653456126203E-4</v>
          </cell>
          <cell r="H208">
            <v>5.8617202354004105E-4</v>
          </cell>
          <cell r="I208">
            <v>4.2872021719322998E-4</v>
          </cell>
        </row>
        <row r="209">
          <cell r="A209" t="str">
            <v>T_B_c-HYBDSL-S2</v>
          </cell>
          <cell r="B209" t="str">
            <v>VAR_cap</v>
          </cell>
          <cell r="C209" t="str">
            <v>-</v>
          </cell>
          <cell r="E209">
            <v>9.8797180481737102E-7</v>
          </cell>
          <cell r="F209">
            <v>1.22856273501667E-4</v>
          </cell>
          <cell r="G209">
            <v>7.5649190631529503E-4</v>
          </cell>
          <cell r="H209">
            <v>7.4414424281550877E-4</v>
          </cell>
          <cell r="I209">
            <v>7.3071351461553001E-4</v>
          </cell>
        </row>
        <row r="210">
          <cell r="A210" t="str">
            <v>T_C-BATELCEXT</v>
          </cell>
          <cell r="B210" t="str">
            <v>VAR_fout</v>
          </cell>
          <cell r="C210" t="str">
            <v>TPCAR</v>
          </cell>
          <cell r="D210">
            <v>0.41619524748414172</v>
          </cell>
          <cell r="E210">
            <v>0.36070491418276363</v>
          </cell>
          <cell r="F210">
            <v>0.27746384777077671</v>
          </cell>
          <cell r="G210">
            <v>0.13873203934699585</v>
          </cell>
        </row>
        <row r="211">
          <cell r="A211" t="str">
            <v>T_C-BATELCEXT</v>
          </cell>
          <cell r="B211" t="str">
            <v>VAR_fin</v>
          </cell>
          <cell r="C211" t="str">
            <v>T-ELC-car</v>
          </cell>
          <cell r="D211">
            <v>0.46789166435613505</v>
          </cell>
          <cell r="E211">
            <v>0.37693365329288803</v>
          </cell>
          <cell r="F211">
            <v>0.26222951088317448</v>
          </cell>
          <cell r="G211">
            <v>0.11309564599909504</v>
          </cell>
        </row>
        <row r="212">
          <cell r="A212" t="str">
            <v>T_C-BATELCEXT</v>
          </cell>
          <cell r="B212" t="str">
            <v>VAR_cap</v>
          </cell>
          <cell r="C212" t="str">
            <v>-</v>
          </cell>
          <cell r="D212">
            <v>4.2040000000000001E-2</v>
          </cell>
          <cell r="E212">
            <v>3.6434666666666699E-2</v>
          </cell>
          <cell r="F212">
            <v>2.8026633463461001E-2</v>
          </cell>
          <cell r="G212">
            <v>1.40133333333333E-2</v>
          </cell>
        </row>
        <row r="213">
          <cell r="A213" t="str">
            <v>D-TDSL</v>
          </cell>
          <cell r="B213" t="str">
            <v>VAR_fout</v>
          </cell>
          <cell r="C213" t="str">
            <v>CO2</v>
          </cell>
          <cell r="D213">
            <v>8676.3600203181595</v>
          </cell>
          <cell r="E213">
            <v>8259.8865104678607</v>
          </cell>
          <cell r="F213">
            <v>7050.2463614682001</v>
          </cell>
          <cell r="G213">
            <v>5284.8614664914803</v>
          </cell>
          <cell r="H213">
            <v>3590.1790458624901</v>
          </cell>
          <cell r="I213">
            <v>3519.4204674952198</v>
          </cell>
        </row>
        <row r="214">
          <cell r="A214" t="str">
            <v>D-TDSL</v>
          </cell>
          <cell r="B214" t="str">
            <v>VAR_fout</v>
          </cell>
          <cell r="C214" t="str">
            <v>TDSL</v>
          </cell>
          <cell r="D214">
            <v>116.62825818262024</v>
          </cell>
          <cell r="E214">
            <v>111.02999117672189</v>
          </cell>
          <cell r="F214">
            <v>94.769920908173475</v>
          </cell>
          <cell r="G214">
            <v>71.039489616608449</v>
          </cell>
          <cell r="H214">
            <v>48.259446092847611</v>
          </cell>
          <cell r="I214">
            <v>47.308304170759648</v>
          </cell>
        </row>
        <row r="215">
          <cell r="A215" t="str">
            <v>D-TDSL</v>
          </cell>
          <cell r="B215" t="str">
            <v>VAR_fin</v>
          </cell>
          <cell r="C215" t="str">
            <v>DSL</v>
          </cell>
          <cell r="D215">
            <v>118.36780382425881</v>
          </cell>
          <cell r="E215">
            <v>112.68603697773341</v>
          </cell>
          <cell r="F215">
            <v>96.183442857683474</v>
          </cell>
          <cell r="G215">
            <v>72.099065027168891</v>
          </cell>
          <cell r="H215">
            <v>48.979250284617827</v>
          </cell>
          <cell r="I215">
            <v>48.013921793931999</v>
          </cell>
        </row>
        <row r="216">
          <cell r="A216" t="str">
            <v>T_B_c-HYBDSL-S3</v>
          </cell>
          <cell r="B216" t="str">
            <v>VAR_fout</v>
          </cell>
          <cell r="C216" t="str">
            <v>CO2_T</v>
          </cell>
          <cell r="E216">
            <v>1.6632176754575401E-2</v>
          </cell>
          <cell r="F216">
            <v>0.2345259896948117</v>
          </cell>
          <cell r="G216">
            <v>10.031538001868405</v>
          </cell>
          <cell r="H216">
            <v>8.9705521144567406</v>
          </cell>
          <cell r="I216">
            <v>8.1420418341011409</v>
          </cell>
        </row>
        <row r="217">
          <cell r="A217" t="str">
            <v>T_B_c-HYBDSL-S3</v>
          </cell>
          <cell r="B217" t="str">
            <v>VAR_fout</v>
          </cell>
          <cell r="C217" t="str">
            <v>TPBSc</v>
          </cell>
          <cell r="E217">
            <v>1.7752143554895776E-5</v>
          </cell>
          <cell r="F217">
            <v>2.6208944916904236E-4</v>
          </cell>
          <cell r="G217">
            <v>1.2133627489783066E-2</v>
          </cell>
          <cell r="H217">
            <v>1.1920991114504325E-2</v>
          </cell>
          <cell r="I217">
            <v>1.1763914254594594E-2</v>
          </cell>
        </row>
        <row r="218">
          <cell r="A218" t="str">
            <v>T_B_c-HYBDSL-S3</v>
          </cell>
          <cell r="B218" t="str">
            <v>VAR_fin</v>
          </cell>
          <cell r="C218" t="str">
            <v>TDSL</v>
          </cell>
          <cell r="E218">
            <v>2.269055491756528E-4</v>
          </cell>
          <cell r="F218">
            <v>3.199536012207529E-3</v>
          </cell>
          <cell r="G218">
            <v>0.1368559072560491</v>
          </cell>
          <cell r="H218">
            <v>0.12238133853283426</v>
          </cell>
          <cell r="I218">
            <v>0.11107833334380818</v>
          </cell>
        </row>
        <row r="219">
          <cell r="A219" t="str">
            <v>T_B_c-HYBDSL-S3</v>
          </cell>
          <cell r="B219" t="str">
            <v>VAR_ncap</v>
          </cell>
          <cell r="C219" t="str">
            <v>-</v>
          </cell>
          <cell r="E219">
            <v>4.1367476506026999E-7</v>
          </cell>
          <cell r="F219">
            <v>5.33006773357822E-6</v>
          </cell>
          <cell r="G219">
            <v>2.58125819524933E-4</v>
          </cell>
          <cell r="H219">
            <v>1.9251365002269399E-4</v>
          </cell>
          <cell r="I219">
            <v>1.8973267830128801E-4</v>
          </cell>
        </row>
        <row r="220">
          <cell r="A220" t="str">
            <v>T_B_c-HYBDSL-S3</v>
          </cell>
          <cell r="B220" t="str">
            <v>VAR_cap</v>
          </cell>
          <cell r="C220" t="str">
            <v>-</v>
          </cell>
          <cell r="E220">
            <v>4.1367476506026999E-7</v>
          </cell>
          <cell r="F220">
            <v>5.7437424986384896E-6</v>
          </cell>
          <cell r="G220">
            <v>2.6370098696926398E-4</v>
          </cell>
          <cell r="H220">
            <v>2.5909276303493698E-4</v>
          </cell>
          <cell r="I220">
            <v>2.5567269372236501E-4</v>
          </cell>
        </row>
        <row r="221">
          <cell r="A221" t="str">
            <v>T-Bat-Car-STG_S1</v>
          </cell>
          <cell r="B221" t="str">
            <v>VAR_fout</v>
          </cell>
          <cell r="C221" t="str">
            <v>T-ELC-car-BatSTGAUXout_S1</v>
          </cell>
          <cell r="D221">
            <v>7.6977716338771105E-3</v>
          </cell>
          <cell r="E221">
            <v>1.4143415016453942E-2</v>
          </cell>
          <cell r="F221">
            <v>1.1074035572695573E-2</v>
          </cell>
          <cell r="G221">
            <v>2.3758980043987098E-2</v>
          </cell>
          <cell r="H221">
            <v>0.143867417458963</v>
          </cell>
          <cell r="I221">
            <v>1.0060222298333934</v>
          </cell>
        </row>
        <row r="222">
          <cell r="A222" t="str">
            <v>T-Bat-Car-STG_S1</v>
          </cell>
          <cell r="B222" t="str">
            <v>VAR_fout</v>
          </cell>
          <cell r="C222" t="str">
            <v>T-ELC-car-BatSTGOut_S1</v>
          </cell>
          <cell r="D222">
            <v>7.6977716338771105E-3</v>
          </cell>
          <cell r="E222">
            <v>1.4143415016453942E-2</v>
          </cell>
          <cell r="F222">
            <v>1.1074035572695571E-2</v>
          </cell>
          <cell r="G222">
            <v>2.3758980043987098E-2</v>
          </cell>
          <cell r="H222">
            <v>0.143867417458963</v>
          </cell>
          <cell r="I222">
            <v>1.0060222298333932</v>
          </cell>
        </row>
        <row r="223">
          <cell r="A223" t="str">
            <v>T-Bat-Car-STG_S1</v>
          </cell>
          <cell r="B223" t="str">
            <v>VAR_fin</v>
          </cell>
          <cell r="C223" t="str">
            <v>T-ELC-car-BatSTGAUXin_S1</v>
          </cell>
          <cell r="D223">
            <v>7.7008782674801608E-3</v>
          </cell>
          <cell r="E223">
            <v>1.4156625540598804E-2</v>
          </cell>
          <cell r="F223">
            <v>1.1114864808270593E-2</v>
          </cell>
          <cell r="G223">
            <v>2.3792375615647104E-2</v>
          </cell>
          <cell r="H223">
            <v>0.14390469007634213</v>
          </cell>
          <cell r="I223">
            <v>1.0061433433663427</v>
          </cell>
        </row>
        <row r="224">
          <cell r="A224" t="str">
            <v>T-Bat-Car-STG_S1</v>
          </cell>
          <cell r="B224" t="str">
            <v>VAR_fin</v>
          </cell>
          <cell r="C224" t="str">
            <v>T-ELC-car-BatSTGin_S1</v>
          </cell>
          <cell r="D224">
            <v>7.7008782674801608E-3</v>
          </cell>
          <cell r="E224">
            <v>1.4156625540598804E-2</v>
          </cell>
          <cell r="F224">
            <v>1.1114864808270593E-2</v>
          </cell>
          <cell r="G224">
            <v>2.3792375615647104E-2</v>
          </cell>
          <cell r="H224">
            <v>0.14390469007634213</v>
          </cell>
          <cell r="I224">
            <v>1.0061433433663427</v>
          </cell>
        </row>
        <row r="225">
          <cell r="A225" t="str">
            <v>T-Bat-Car-STG_S1</v>
          </cell>
          <cell r="B225" t="str">
            <v>VAR_ncap</v>
          </cell>
          <cell r="C225" t="str">
            <v>-</v>
          </cell>
          <cell r="D225">
            <v>4.7924875469295102E-3</v>
          </cell>
          <cell r="E225">
            <v>4.39373000805987E-2</v>
          </cell>
          <cell r="F225">
            <v>3.0146498922218601E-2</v>
          </cell>
          <cell r="G225">
            <v>1.02681212900219E-2</v>
          </cell>
          <cell r="H225">
            <v>0.86327065681661797</v>
          </cell>
          <cell r="I225">
            <v>20.119863342610799</v>
          </cell>
        </row>
        <row r="226">
          <cell r="A226" t="str">
            <v>T-Bat-Car-STG_S1</v>
          </cell>
          <cell r="B226" t="str">
            <v>VAR_cap</v>
          </cell>
          <cell r="C226" t="str">
            <v>-</v>
          </cell>
          <cell r="D226">
            <v>4.7924875469295102E-3</v>
          </cell>
          <cell r="E226">
            <v>4.8004884874286065E-2</v>
          </cell>
          <cell r="F226">
            <v>7.4922181328855628E-2</v>
          </cell>
          <cell r="G226">
            <v>7.198234160600582E-2</v>
          </cell>
          <cell r="H226">
            <v>0.85646693013728681</v>
          </cell>
          <cell r="I226">
            <v>17.614145806526995</v>
          </cell>
        </row>
        <row r="227">
          <cell r="A227" t="str">
            <v>T_B_c-HYBDSL-S4</v>
          </cell>
          <cell r="B227" t="str">
            <v>VAR_fout</v>
          </cell>
          <cell r="C227" t="str">
            <v>CO2_T</v>
          </cell>
          <cell r="E227">
            <v>1.57718167859287E-3</v>
          </cell>
          <cell r="F227">
            <v>3.2608980898308801E-3</v>
          </cell>
          <cell r="G227">
            <v>2.139529079456672E-3</v>
          </cell>
          <cell r="H227">
            <v>3.2245640075745001E-3</v>
          </cell>
          <cell r="I227">
            <v>2.0297007680065301E-4</v>
          </cell>
        </row>
        <row r="228">
          <cell r="A228" t="str">
            <v>T_B_c-HYBDSL-S4</v>
          </cell>
          <cell r="B228" t="str">
            <v>VAR_fout</v>
          </cell>
          <cell r="C228" t="str">
            <v>TPBSc</v>
          </cell>
          <cell r="E228">
            <v>1.1350423522517761E-6</v>
          </cell>
          <cell r="F228">
            <v>2.4016202855709669E-6</v>
          </cell>
          <cell r="G228">
            <v>1.6812583430756912E-6</v>
          </cell>
          <cell r="H228">
            <v>2.8699908242265972E-6</v>
          </cell>
          <cell r="I228">
            <v>2.0334501187401649E-7</v>
          </cell>
        </row>
        <row r="229">
          <cell r="A229" t="str">
            <v>T_B_c-HYBDSL-S4</v>
          </cell>
          <cell r="B229" t="str">
            <v>VAR_fin</v>
          </cell>
          <cell r="C229" t="str">
            <v>TDSL</v>
          </cell>
          <cell r="E229">
            <v>2.1516803255018695E-5</v>
          </cell>
          <cell r="F229">
            <v>4.4487013503831865E-5</v>
          </cell>
          <cell r="G229">
            <v>2.9188664112642231E-5</v>
          </cell>
          <cell r="H229">
            <v>4.3991323432121512E-5</v>
          </cell>
          <cell r="I229">
            <v>2.7690324256569285E-6</v>
          </cell>
        </row>
        <row r="230">
          <cell r="A230" t="str">
            <v>T_B_c-HYBDSL-S4</v>
          </cell>
          <cell r="B230" t="str">
            <v>VAR_ncap</v>
          </cell>
          <cell r="C230" t="str">
            <v>-</v>
          </cell>
          <cell r="E230">
            <v>4.0746317247256301E-8</v>
          </cell>
          <cell r="F230">
            <v>3.6392035267731498E-8</v>
          </cell>
          <cell r="G230">
            <v>3.1050568423207498E-8</v>
          </cell>
          <cell r="H230">
            <v>5.2440094194069802E-8</v>
          </cell>
          <cell r="I230">
            <v>1.8363449364632399E-8</v>
          </cell>
        </row>
        <row r="231">
          <cell r="A231" t="str">
            <v>T_B_c-HYBDSL-S4</v>
          </cell>
          <cell r="B231" t="str">
            <v>VAR_cap</v>
          </cell>
          <cell r="C231" t="str">
            <v>-</v>
          </cell>
          <cell r="E231">
            <v>4.0746317247256301E-8</v>
          </cell>
          <cell r="F231">
            <v>7.7138352514987805E-8</v>
          </cell>
          <cell r="G231">
            <v>7.0047474818257799E-8</v>
          </cell>
          <cell r="H231">
            <v>9.28060387107842E-8</v>
          </cell>
          <cell r="I231">
            <v>2.7566089983422998E-8</v>
          </cell>
        </row>
        <row r="232">
          <cell r="A232" t="str">
            <v>TFHGV-ICEDSLExt</v>
          </cell>
          <cell r="B232" t="str">
            <v>VAR_fout</v>
          </cell>
          <cell r="C232" t="str">
            <v>CO2_T</v>
          </cell>
          <cell r="D232">
            <v>1410.1677470101299</v>
          </cell>
          <cell r="E232">
            <v>1140.4792518648201</v>
          </cell>
          <cell r="F232">
            <v>841.31161143042505</v>
          </cell>
          <cell r="G232">
            <v>362.82781405946702</v>
          </cell>
        </row>
        <row r="233">
          <cell r="A233" t="str">
            <v>TFHGV-ICEDSLExt</v>
          </cell>
          <cell r="B233" t="str">
            <v>VAR_fout</v>
          </cell>
          <cell r="C233" t="str">
            <v>TFHGV</v>
          </cell>
          <cell r="D233">
            <v>1.576649532343823</v>
          </cell>
          <cell r="E233">
            <v>1.3069022570590505</v>
          </cell>
          <cell r="F233">
            <v>0.99924443751648473</v>
          </cell>
          <cell r="G233">
            <v>0.43093863207089533</v>
          </cell>
        </row>
        <row r="234">
          <cell r="A234" t="str">
            <v>TFHGV-ICEDSLExt</v>
          </cell>
          <cell r="B234" t="str">
            <v>VAR_fin</v>
          </cell>
          <cell r="C234" t="str">
            <v>TDSL</v>
          </cell>
          <cell r="D234">
            <v>19.238304870533774</v>
          </cell>
          <cell r="E234">
            <v>15.55906209911082</v>
          </cell>
          <cell r="F234">
            <v>11.477648177768426</v>
          </cell>
          <cell r="G234">
            <v>4.9499019653406195</v>
          </cell>
        </row>
        <row r="235">
          <cell r="A235" t="str">
            <v>TFHGV-ICEDSLExt</v>
          </cell>
          <cell r="B235" t="str">
            <v>VAR_cap</v>
          </cell>
          <cell r="C235" t="str">
            <v>-</v>
          </cell>
          <cell r="D235">
            <v>2.9662000000000001E-2</v>
          </cell>
          <cell r="E235">
            <v>2.5707066666666702E-2</v>
          </cell>
          <cell r="F235">
            <v>1.9774666666666701E-2</v>
          </cell>
          <cell r="G235">
            <v>9.8873333333333296E-3</v>
          </cell>
        </row>
        <row r="236">
          <cell r="A236" t="str">
            <v>TPSHPGSLEXT</v>
          </cell>
          <cell r="B236" t="str">
            <v>VAR_fout</v>
          </cell>
          <cell r="C236" t="str">
            <v>TPSHP</v>
          </cell>
          <cell r="D236">
            <v>1.5951113482171899</v>
          </cell>
          <cell r="E236">
            <v>0.72256825383177903</v>
          </cell>
          <cell r="F236">
            <v>2.54259686921466E-4</v>
          </cell>
          <cell r="G236">
            <v>1.91289555377487E-4</v>
          </cell>
          <cell r="H236">
            <v>7.9519853989309697E-5</v>
          </cell>
        </row>
        <row r="237">
          <cell r="A237" t="str">
            <v>TPSHPGSLEXT</v>
          </cell>
          <cell r="B237" t="str">
            <v>VAR_fout</v>
          </cell>
          <cell r="C237" t="str">
            <v>CO2_T</v>
          </cell>
          <cell r="D237">
            <v>129.873812963153</v>
          </cell>
          <cell r="E237">
            <v>58.831437915695297</v>
          </cell>
          <cell r="F237">
            <v>2.07017993196623E-2</v>
          </cell>
          <cell r="G237">
            <v>1.55747772496681E-2</v>
          </cell>
          <cell r="H237">
            <v>6.4744988839855501E-3</v>
          </cell>
        </row>
        <row r="238">
          <cell r="A238" t="str">
            <v>TPSHPGSLEXT</v>
          </cell>
          <cell r="B238" t="str">
            <v>VAR_fin</v>
          </cell>
          <cell r="C238" t="str">
            <v>TGSL</v>
          </cell>
          <cell r="D238">
            <v>1.759807763728358</v>
          </cell>
          <cell r="E238">
            <v>0.7971739554972237</v>
          </cell>
          <cell r="F238">
            <v>2.8051218590328361E-4</v>
          </cell>
          <cell r="G238">
            <v>2.1104034213642218E-4</v>
          </cell>
          <cell r="H238">
            <v>8.7730337181375907E-5</v>
          </cell>
        </row>
        <row r="239">
          <cell r="A239" t="str">
            <v>TPSHPGSLEXT</v>
          </cell>
          <cell r="B239" t="str">
            <v>VAR_ncap</v>
          </cell>
          <cell r="C239" t="str">
            <v>-</v>
          </cell>
          <cell r="D239">
            <v>9.852768888177069E-7</v>
          </cell>
          <cell r="E239">
            <v>2.29013394899255E-6</v>
          </cell>
          <cell r="F239">
            <v>4.81274553338352E-6</v>
          </cell>
          <cell r="G239">
            <v>5.4188628634904198E-6</v>
          </cell>
          <cell r="H239">
            <v>4.3096057050944696E-6</v>
          </cell>
          <cell r="I239">
            <v>1.4865737959468501E-6</v>
          </cell>
        </row>
        <row r="240">
          <cell r="A240" t="str">
            <v>TPSHPGSLEXT</v>
          </cell>
          <cell r="B240" t="str">
            <v>VAR_cap</v>
          </cell>
          <cell r="C240" t="str">
            <v>-</v>
          </cell>
          <cell r="D240">
            <v>1.5951123334940787</v>
          </cell>
          <cell r="E240">
            <v>1.5951146236280278</v>
          </cell>
          <cell r="F240">
            <v>2.486428908510252E-4</v>
          </cell>
          <cell r="G240">
            <v>1.9058388351456124E-4</v>
          </cell>
          <cell r="H240">
            <v>7.1996668489116011E-5</v>
          </cell>
          <cell r="I240">
            <v>3.5888965360261011E-6</v>
          </cell>
        </row>
        <row r="241">
          <cell r="A241" t="str">
            <v>T-Bat-Car-STG_S2</v>
          </cell>
          <cell r="B241" t="str">
            <v>VAR_fout</v>
          </cell>
          <cell r="C241" t="str">
            <v>T-ELC-car-BatSTGAUXout_S2</v>
          </cell>
          <cell r="D241">
            <v>6.6165274791158107E-2</v>
          </cell>
          <cell r="E241">
            <v>0.10324878886830655</v>
          </cell>
          <cell r="F241">
            <v>1.0307768966907422</v>
          </cell>
          <cell r="G241">
            <v>5.9453126050439655</v>
          </cell>
          <cell r="H241">
            <v>11.193640300567278</v>
          </cell>
          <cell r="I241">
            <v>9.2447700340886776</v>
          </cell>
        </row>
        <row r="242">
          <cell r="A242" t="str">
            <v>T-Bat-Car-STG_S2</v>
          </cell>
          <cell r="B242" t="str">
            <v>VAR_fout</v>
          </cell>
          <cell r="C242" t="str">
            <v>T-ELC-car-BatSTGOut_S2</v>
          </cell>
          <cell r="D242">
            <v>6.6165274791158094E-2</v>
          </cell>
          <cell r="E242">
            <v>0.10324878886830653</v>
          </cell>
          <cell r="F242">
            <v>1.0307768966907422</v>
          </cell>
          <cell r="G242">
            <v>5.9453126050439655</v>
          </cell>
          <cell r="H242">
            <v>11.193640300567278</v>
          </cell>
          <cell r="I242">
            <v>9.2447700340886776</v>
          </cell>
        </row>
        <row r="243">
          <cell r="A243" t="str">
            <v>T-Bat-Car-STG_S2</v>
          </cell>
          <cell r="B243" t="str">
            <v>VAR_fin</v>
          </cell>
          <cell r="C243" t="str">
            <v>T-ELC-car-BatSTGAUXin_S2</v>
          </cell>
          <cell r="D243">
            <v>6.6174631838175332E-2</v>
          </cell>
          <cell r="E243">
            <v>0.10326517362890578</v>
          </cell>
          <cell r="F243">
            <v>1.0309058459156644</v>
          </cell>
          <cell r="G243">
            <v>5.9459273139563953</v>
          </cell>
          <cell r="H243">
            <v>11.194783707837429</v>
          </cell>
          <cell r="I243">
            <v>9.2457127713017222</v>
          </cell>
        </row>
        <row r="244">
          <cell r="A244" t="str">
            <v>T-Bat-Car-STG_S2</v>
          </cell>
          <cell r="B244" t="str">
            <v>VAR_fin</v>
          </cell>
          <cell r="C244" t="str">
            <v>T-ELC-car-BatSTGin_S2</v>
          </cell>
          <cell r="D244">
            <v>6.6174631838175332E-2</v>
          </cell>
          <cell r="E244">
            <v>0.10326517362890578</v>
          </cell>
          <cell r="F244">
            <v>1.0309058459156644</v>
          </cell>
          <cell r="G244">
            <v>5.9459273139563953</v>
          </cell>
          <cell r="H244">
            <v>11.194783707837429</v>
          </cell>
          <cell r="I244">
            <v>9.2457127713017222</v>
          </cell>
        </row>
        <row r="245">
          <cell r="A245" t="str">
            <v>T-Bat-Car-STG_S2</v>
          </cell>
          <cell r="B245" t="str">
            <v>VAR_ncap</v>
          </cell>
          <cell r="C245" t="str">
            <v>-</v>
          </cell>
          <cell r="D245">
            <v>1.03593977803685E-2</v>
          </cell>
          <cell r="E245">
            <v>2.9391837766754601E-2</v>
          </cell>
          <cell r="F245">
            <v>14.6610772575458</v>
          </cell>
          <cell r="G245">
            <v>80.280177099111</v>
          </cell>
          <cell r="H245">
            <v>103.41797722437801</v>
          </cell>
          <cell r="I245">
            <v>139.84744579046799</v>
          </cell>
        </row>
        <row r="246">
          <cell r="A246" t="str">
            <v>T-Bat-Car-STG_S2</v>
          </cell>
          <cell r="B246" t="str">
            <v>VAR_cap</v>
          </cell>
          <cell r="C246" t="str">
            <v>-</v>
          </cell>
          <cell r="D246">
            <v>1.03593977803685E-2</v>
          </cell>
          <cell r="E246">
            <v>3.905999858633584E-2</v>
          </cell>
          <cell r="F246">
            <v>14.502577690735794</v>
          </cell>
          <cell r="G246">
            <v>88.855395853184277</v>
          </cell>
          <cell r="H246">
            <v>173.68721131370231</v>
          </cell>
          <cell r="I246">
            <v>161.1792380895599</v>
          </cell>
        </row>
        <row r="247">
          <cell r="A247" t="str">
            <v>T_TW-ICEGSL-S1</v>
          </cell>
          <cell r="B247" t="str">
            <v>VAR_fout</v>
          </cell>
          <cell r="C247" t="str">
            <v>CO2_T</v>
          </cell>
          <cell r="D247">
            <v>3.2639092137626471</v>
          </cell>
          <cell r="E247">
            <v>12.878633030337536</v>
          </cell>
          <cell r="F247">
            <v>25.520411388003339</v>
          </cell>
          <cell r="G247">
            <v>45.323908554468503</v>
          </cell>
          <cell r="H247">
            <v>65.947845604207828</v>
          </cell>
          <cell r="I247">
            <v>65.020847018267986</v>
          </cell>
        </row>
        <row r="248">
          <cell r="A248" t="str">
            <v>T_TW-ICEGSL-S1</v>
          </cell>
          <cell r="B248" t="str">
            <v>VAR_fout</v>
          </cell>
          <cell r="C248" t="str">
            <v>TPTWL</v>
          </cell>
          <cell r="D248">
            <v>8.4378847830317169E-2</v>
          </cell>
          <cell r="E248">
            <v>0.33521436797436949</v>
          </cell>
          <cell r="F248">
            <v>0.66968896887924223</v>
          </cell>
          <cell r="G248">
            <v>1.2112861873632981</v>
          </cell>
          <cell r="H248">
            <v>1.8458656903434423</v>
          </cell>
          <cell r="I248">
            <v>1.9028804387041438</v>
          </cell>
        </row>
        <row r="249">
          <cell r="A249" t="str">
            <v>T_TW-ICEGSL-S1</v>
          </cell>
          <cell r="B249" t="str">
            <v>VAR_fin</v>
          </cell>
          <cell r="C249" t="str">
            <v>TGSL</v>
          </cell>
          <cell r="D249">
            <v>4.4226412110604858E-2</v>
          </cell>
          <cell r="E249">
            <v>0.17450722263329979</v>
          </cell>
          <cell r="F249">
            <v>0.34580503235776794</v>
          </cell>
          <cell r="G249">
            <v>0.61414510236407172</v>
          </cell>
          <cell r="H249">
            <v>0.89360224395945631</v>
          </cell>
          <cell r="I249">
            <v>0.88104128751040645</v>
          </cell>
        </row>
        <row r="250">
          <cell r="A250" t="str">
            <v>T_TW-ICEGSL-S1</v>
          </cell>
          <cell r="B250" t="str">
            <v>VAR_ncap</v>
          </cell>
          <cell r="C250" t="str">
            <v>-</v>
          </cell>
          <cell r="E250">
            <v>8.2405196213052798E-2</v>
          </cell>
          <cell r="F250">
            <v>0.115156839486399</v>
          </cell>
          <cell r="G250">
            <v>0.23613859051233699</v>
          </cell>
          <cell r="H250">
            <v>0.31204171928815699</v>
          </cell>
          <cell r="I250">
            <v>0.57185599680930599</v>
          </cell>
        </row>
        <row r="251">
          <cell r="A251" t="str">
            <v>T_TW-ICEGSL-S1</v>
          </cell>
          <cell r="B251" t="str">
            <v>VAR_cap</v>
          </cell>
          <cell r="C251" t="str">
            <v>-</v>
          </cell>
          <cell r="D251">
            <v>2.9121499487353545E-2</v>
          </cell>
          <cell r="E251">
            <v>0.11537686870448892</v>
          </cell>
          <cell r="F251">
            <v>0.23053398650814408</v>
          </cell>
          <cell r="G251">
            <v>0.44063023816888502</v>
          </cell>
          <cell r="H251">
            <v>0.74182009996124088</v>
          </cell>
          <cell r="I251">
            <v>0.79642783589622479</v>
          </cell>
        </row>
        <row r="252">
          <cell r="A252" t="str">
            <v>TPSHPDSLEXT</v>
          </cell>
          <cell r="B252" t="str">
            <v>VAR_fout</v>
          </cell>
          <cell r="C252" t="str">
            <v>TPSHP</v>
          </cell>
          <cell r="D252">
            <v>17.176521919007701</v>
          </cell>
          <cell r="E252">
            <v>17.176541919378401</v>
          </cell>
          <cell r="F252">
            <v>17.024618523697999</v>
          </cell>
          <cell r="G252">
            <v>16.151358386509699</v>
          </cell>
          <cell r="H252">
            <v>16.1514882914271</v>
          </cell>
          <cell r="I252">
            <v>16.151475754283702</v>
          </cell>
        </row>
        <row r="253">
          <cell r="A253" t="str">
            <v>TPSHPDSLEXT</v>
          </cell>
          <cell r="B253" t="str">
            <v>VAR_fout</v>
          </cell>
          <cell r="C253" t="str">
            <v>CO2_T</v>
          </cell>
          <cell r="D253">
            <v>1273.9831592043399</v>
          </cell>
          <cell r="E253">
            <v>1273.98464263245</v>
          </cell>
          <cell r="F253">
            <v>1262.7164797006001</v>
          </cell>
          <cell r="G253">
            <v>1197.9467484576701</v>
          </cell>
          <cell r="H253">
            <v>1197.95638350938</v>
          </cell>
          <cell r="I253">
            <v>1197.95545362907</v>
          </cell>
        </row>
        <row r="254">
          <cell r="A254" t="str">
            <v>TPSHPDSLEXT</v>
          </cell>
          <cell r="B254" t="str">
            <v>VAR_fin</v>
          </cell>
          <cell r="C254" t="str">
            <v>TDSL</v>
          </cell>
          <cell r="D254">
            <v>17.38039780633471</v>
          </cell>
          <cell r="E254">
            <v>17.380418044098782</v>
          </cell>
          <cell r="F254">
            <v>17.226691401099501</v>
          </cell>
          <cell r="G254">
            <v>16.343066145397977</v>
          </cell>
          <cell r="H254">
            <v>16.343197592215319</v>
          </cell>
          <cell r="I254">
            <v>16.34318490626298</v>
          </cell>
        </row>
        <row r="255">
          <cell r="A255" t="str">
            <v>TPSHPDSLEXT</v>
          </cell>
          <cell r="B255" t="str">
            <v>VAR_ncap</v>
          </cell>
          <cell r="C255" t="str">
            <v>-</v>
          </cell>
          <cell r="D255">
            <v>2.5188966741472098E-6</v>
          </cell>
          <cell r="E255">
            <v>9.2903166913334196E-6</v>
          </cell>
          <cell r="F255">
            <v>3.3709232011400501E-6</v>
          </cell>
          <cell r="G255">
            <v>2.94666818512893E-6</v>
          </cell>
          <cell r="H255">
            <v>10.499742583925499</v>
          </cell>
          <cell r="I255">
            <v>5.6517215244770096</v>
          </cell>
        </row>
        <row r="256">
          <cell r="A256" t="str">
            <v>TPSHPDSLEXT</v>
          </cell>
          <cell r="B256" t="str">
            <v>VAR_cap</v>
          </cell>
          <cell r="C256" t="str">
            <v>-</v>
          </cell>
          <cell r="D256">
            <v>17.176524437904376</v>
          </cell>
          <cell r="E256">
            <v>17.176533728221067</v>
          </cell>
          <cell r="F256">
            <v>17.02460617591878</v>
          </cell>
          <cell r="G256">
            <v>16.151330884297323</v>
          </cell>
          <cell r="H256">
            <v>16.151473336423496</v>
          </cell>
          <cell r="I256">
            <v>16.151468095082969</v>
          </cell>
        </row>
        <row r="257">
          <cell r="A257" t="str">
            <v>T-Bat-Car-STG_S3</v>
          </cell>
          <cell r="B257" t="str">
            <v>VAR_fout</v>
          </cell>
          <cell r="C257" t="str">
            <v>T-ELC-car-BatSTGAUXout_S3</v>
          </cell>
          <cell r="D257">
            <v>4.5913966270184216E-2</v>
          </cell>
          <cell r="E257">
            <v>9.662849582941295E-2</v>
          </cell>
          <cell r="F257">
            <v>0.13746911206337206</v>
          </cell>
          <cell r="G257">
            <v>2.1329349218543401</v>
          </cell>
          <cell r="H257">
            <v>4.4317685158788862</v>
          </cell>
          <cell r="I257">
            <v>3.5397827495938001</v>
          </cell>
        </row>
        <row r="258">
          <cell r="A258" t="str">
            <v>T-Bat-Car-STG_S3</v>
          </cell>
          <cell r="B258" t="str">
            <v>VAR_fout</v>
          </cell>
          <cell r="C258" t="str">
            <v>T-ELC-car-BatSTGOut_S3</v>
          </cell>
          <cell r="D258">
            <v>4.5913966270184216E-2</v>
          </cell>
          <cell r="E258">
            <v>9.662849582941295E-2</v>
          </cell>
          <cell r="F258">
            <v>0.13746911206337206</v>
          </cell>
          <cell r="G258">
            <v>2.1329349218543396</v>
          </cell>
          <cell r="H258">
            <v>4.4317685158788853</v>
          </cell>
          <cell r="I258">
            <v>3.5397827495937997</v>
          </cell>
        </row>
        <row r="259">
          <cell r="A259" t="str">
            <v>T-Bat-Car-STG_S3</v>
          </cell>
          <cell r="B259" t="str">
            <v>VAR_fin</v>
          </cell>
          <cell r="C259" t="str">
            <v>T-ELC-car-BatSTGAUXin_S3</v>
          </cell>
          <cell r="D259">
            <v>4.5921801195431086E-2</v>
          </cell>
          <cell r="E259">
            <v>9.6644195101263028E-2</v>
          </cell>
          <cell r="F259">
            <v>0.13750861630647193</v>
          </cell>
          <cell r="G259">
            <v>2.1331679337878704</v>
          </cell>
          <cell r="H259">
            <v>4.4322357326719439</v>
          </cell>
          <cell r="I259">
            <v>3.5401549222966597</v>
          </cell>
        </row>
        <row r="260">
          <cell r="A260" t="str">
            <v>T-Bat-Car-STG_S3</v>
          </cell>
          <cell r="B260" t="str">
            <v>VAR_fin</v>
          </cell>
          <cell r="C260" t="str">
            <v>T-ELC-car-BatSTGin_S3</v>
          </cell>
          <cell r="D260">
            <v>4.5921801195431086E-2</v>
          </cell>
          <cell r="E260">
            <v>9.6644195101263028E-2</v>
          </cell>
          <cell r="F260">
            <v>0.13750861630647193</v>
          </cell>
          <cell r="G260">
            <v>2.1331679337878704</v>
          </cell>
          <cell r="H260">
            <v>4.4322357326719439</v>
          </cell>
          <cell r="I260">
            <v>3.5401549222966597</v>
          </cell>
        </row>
        <row r="261">
          <cell r="A261" t="str">
            <v>T-Bat-Car-STG_S3</v>
          </cell>
          <cell r="B261" t="str">
            <v>VAR_ncap</v>
          </cell>
          <cell r="C261" t="str">
            <v>-</v>
          </cell>
          <cell r="D261">
            <v>9.2884954313089598E-3</v>
          </cell>
          <cell r="E261">
            <v>0.44925847065166102</v>
          </cell>
          <cell r="F261">
            <v>0.67201975908134504</v>
          </cell>
          <cell r="G261">
            <v>30.604433307022099</v>
          </cell>
          <cell r="H261">
            <v>16.383985784140801</v>
          </cell>
          <cell r="I261">
            <v>37.8316660906113</v>
          </cell>
        </row>
        <row r="262">
          <cell r="A262" t="str">
            <v>T-Bat-Car-STG_S3</v>
          </cell>
          <cell r="B262" t="str">
            <v>VAR_cap</v>
          </cell>
          <cell r="C262" t="str">
            <v>-</v>
          </cell>
          <cell r="D262">
            <v>9.2884954313089598E-3</v>
          </cell>
          <cell r="E262">
            <v>0.45229576843775127</v>
          </cell>
          <cell r="F262">
            <v>1.0891725656429998</v>
          </cell>
          <cell r="G262">
            <v>29.941494195388753</v>
          </cell>
          <cell r="H262">
            <v>64.461875046934196</v>
          </cell>
          <cell r="I262">
            <v>51.361526628179313</v>
          </cell>
        </row>
        <row r="263">
          <cell r="A263" t="str">
            <v>T_TW-ICEGSL-S2</v>
          </cell>
          <cell r="B263" t="str">
            <v>VAR_fout</v>
          </cell>
          <cell r="C263" t="str">
            <v>CO2_T</v>
          </cell>
          <cell r="D263">
            <v>8.2742280575364298</v>
          </cell>
          <cell r="E263">
            <v>12.029704157790203</v>
          </cell>
          <cell r="F263">
            <v>12.031826369377034</v>
          </cell>
          <cell r="G263">
            <v>7.5299608685847348</v>
          </cell>
          <cell r="H263">
            <v>4.3372088669086151E-2</v>
          </cell>
          <cell r="I263">
            <v>2.5830995129195958E-2</v>
          </cell>
        </row>
        <row r="264">
          <cell r="A264" t="str">
            <v>T_TW-ICEGSL-S2</v>
          </cell>
          <cell r="B264" t="str">
            <v>VAR_fout</v>
          </cell>
          <cell r="C264" t="str">
            <v>TPTWL</v>
          </cell>
          <cell r="D264">
            <v>0.12363837979957865</v>
          </cell>
          <cell r="E264">
            <v>0.18000536538325657</v>
          </cell>
          <cell r="F264">
            <v>0.1800421012472356</v>
          </cell>
          <cell r="G264">
            <v>0.11271313240600289</v>
          </cell>
          <cell r="H264">
            <v>6.9481507343123982E-4</v>
          </cell>
          <cell r="I264">
            <v>4.2584658090929827E-4</v>
          </cell>
        </row>
        <row r="265">
          <cell r="A265" t="str">
            <v>T_TW-ICEGSL-S2</v>
          </cell>
          <cell r="B265" t="str">
            <v>VAR_fin</v>
          </cell>
          <cell r="C265" t="str">
            <v>TGSL</v>
          </cell>
          <cell r="D265">
            <v>0.11211691134873226</v>
          </cell>
          <cell r="E265">
            <v>0.16300412137927089</v>
          </cell>
          <cell r="F265">
            <v>0.16303287763383528</v>
          </cell>
          <cell r="G265">
            <v>0.10203199008922363</v>
          </cell>
          <cell r="H265">
            <v>5.8769767844290242E-4</v>
          </cell>
          <cell r="I265">
            <v>3.5001348413544678E-4</v>
          </cell>
        </row>
        <row r="266">
          <cell r="A266" t="str">
            <v>T_TW-ICEGSL-S2</v>
          </cell>
          <cell r="B266" t="str">
            <v>VAR_ncap</v>
          </cell>
          <cell r="C266" t="str">
            <v>-</v>
          </cell>
          <cell r="E266">
            <v>7.73911486872028E-5</v>
          </cell>
          <cell r="F266">
            <v>9.1871487547403805E-5</v>
          </cell>
          <cell r="G266">
            <v>1.0258919559876E-4</v>
          </cell>
          <cell r="H266">
            <v>9.5701796364703305E-5</v>
          </cell>
          <cell r="I266">
            <v>6.2012707176544403E-5</v>
          </cell>
        </row>
        <row r="267">
          <cell r="A267" t="str">
            <v>T_TW-ICEGSL-S2</v>
          </cell>
          <cell r="B267" t="str">
            <v>VAR_cap</v>
          </cell>
          <cell r="C267" t="str">
            <v>-</v>
          </cell>
          <cell r="D267">
            <v>4.2720308656511906E-2</v>
          </cell>
          <cell r="E267">
            <v>6.1963477948371391E-2</v>
          </cell>
          <cell r="F267">
            <v>6.2056211832466346E-2</v>
          </cell>
          <cell r="G267">
            <v>5.3863985806241542E-2</v>
          </cell>
          <cell r="H267">
            <v>2.7592238638500386E-4</v>
          </cell>
          <cell r="I267">
            <v>1.6796660019618827E-4</v>
          </cell>
        </row>
        <row r="268">
          <cell r="A268" t="str">
            <v>T-Bat-Car-STG_S4</v>
          </cell>
          <cell r="B268" t="str">
            <v>VAR_fout</v>
          </cell>
          <cell r="C268" t="str">
            <v>T-ELC-car-BatSTGAUXout_S4</v>
          </cell>
          <cell r="D268">
            <v>0.14962642527694159</v>
          </cell>
          <cell r="E268">
            <v>1.05380828787771</v>
          </cell>
          <cell r="F268">
            <v>2.5786153137991241</v>
          </cell>
          <cell r="G268">
            <v>3.5600938911279814</v>
          </cell>
          <cell r="H268">
            <v>4.6702486762656834</v>
          </cell>
          <cell r="I268">
            <v>6.6701655672530986</v>
          </cell>
        </row>
        <row r="269">
          <cell r="A269" t="str">
            <v>T-Bat-Car-STG_S4</v>
          </cell>
          <cell r="B269" t="str">
            <v>VAR_fout</v>
          </cell>
          <cell r="C269" t="str">
            <v>T-ELC-car-BatSTGOut_S4</v>
          </cell>
          <cell r="D269">
            <v>0.14962642527694159</v>
          </cell>
          <cell r="E269">
            <v>1.0538082878777097</v>
          </cell>
          <cell r="F269">
            <v>2.5786153137991237</v>
          </cell>
          <cell r="G269">
            <v>3.5600938911279805</v>
          </cell>
          <cell r="H269">
            <v>4.6702486762656834</v>
          </cell>
          <cell r="I269">
            <v>6.6701655672530968</v>
          </cell>
        </row>
        <row r="270">
          <cell r="A270" t="str">
            <v>T-Bat-Car-STG_S4</v>
          </cell>
          <cell r="B270" t="str">
            <v>VAR_fin</v>
          </cell>
          <cell r="C270" t="str">
            <v>T-ELC-car-BatSTGAUXin_S4</v>
          </cell>
          <cell r="D270">
            <v>0.14964467470110329</v>
          </cell>
          <cell r="E270">
            <v>1.0539197146961694</v>
          </cell>
          <cell r="F270">
            <v>2.5788989921661059</v>
          </cell>
          <cell r="G270">
            <v>3.5604697501979152</v>
          </cell>
          <cell r="H270">
            <v>4.6707370064398521</v>
          </cell>
          <cell r="I270">
            <v>6.6708508006771536</v>
          </cell>
        </row>
        <row r="271">
          <cell r="A271" t="str">
            <v>T-Bat-Car-STG_S4</v>
          </cell>
          <cell r="B271" t="str">
            <v>VAR_fin</v>
          </cell>
          <cell r="C271" t="str">
            <v>T-ELC-car-BatSTGin_S4</v>
          </cell>
          <cell r="D271">
            <v>0.14964467470110329</v>
          </cell>
          <cell r="E271">
            <v>1.0539197146961694</v>
          </cell>
          <cell r="F271">
            <v>2.5788989921661059</v>
          </cell>
          <cell r="G271">
            <v>3.5604697501979152</v>
          </cell>
          <cell r="H271">
            <v>4.6707370064398521</v>
          </cell>
          <cell r="I271">
            <v>6.6708508006771536</v>
          </cell>
        </row>
        <row r="272">
          <cell r="A272" t="str">
            <v>T-Bat-Car-STG_S4</v>
          </cell>
          <cell r="B272" t="str">
            <v>VAR_ncap</v>
          </cell>
          <cell r="C272" t="str">
            <v>-</v>
          </cell>
          <cell r="D272">
            <v>2.3642341675861499E-2</v>
          </cell>
          <cell r="E272">
            <v>12.852807283514601</v>
          </cell>
          <cell r="F272">
            <v>25.714809423030601</v>
          </cell>
          <cell r="G272">
            <v>22.405866816472901</v>
          </cell>
          <cell r="H272">
            <v>14.033875245394</v>
          </cell>
          <cell r="I272">
            <v>106.11399581716201</v>
          </cell>
        </row>
        <row r="273">
          <cell r="A273" t="str">
            <v>T-Bat-Car-STG_S4</v>
          </cell>
          <cell r="B273" t="str">
            <v>VAR_cap</v>
          </cell>
          <cell r="C273" t="str">
            <v>-</v>
          </cell>
          <cell r="D273">
            <v>2.3642341675861499E-2</v>
          </cell>
          <cell r="E273">
            <v>12.704650378939624</v>
          </cell>
          <cell r="F273">
            <v>37.340423600573281</v>
          </cell>
          <cell r="G273">
            <v>53.125868306153592</v>
          </cell>
          <cell r="H273">
            <v>73.481976547719682</v>
          </cell>
          <cell r="I273">
            <v>112.03063791492175</v>
          </cell>
        </row>
        <row r="274">
          <cell r="A274" t="str">
            <v>T_TW-ICEGSL-S3</v>
          </cell>
          <cell r="B274" t="str">
            <v>VAR_fout</v>
          </cell>
          <cell r="C274" t="str">
            <v>CO2_T</v>
          </cell>
          <cell r="D274">
            <v>12.028648026196318</v>
          </cell>
          <cell r="E274">
            <v>14.594879296482896</v>
          </cell>
          <cell r="F274">
            <v>14.838386763499798</v>
          </cell>
          <cell r="G274">
            <v>14.556148509621094</v>
          </cell>
          <cell r="H274">
            <v>3.4123861195993164</v>
          </cell>
          <cell r="I274">
            <v>2.4795461837999619E-2</v>
          </cell>
        </row>
        <row r="275">
          <cell r="A275" t="str">
            <v>T_TW-ICEGSL-S3</v>
          </cell>
          <cell r="B275" t="str">
            <v>VAR_fout</v>
          </cell>
          <cell r="C275" t="str">
            <v>TPTWL</v>
          </cell>
          <cell r="D275">
            <v>0.11888916542656223</v>
          </cell>
          <cell r="E275">
            <v>0.1444010915620435</v>
          </cell>
          <cell r="F275">
            <v>0.1468124129199288</v>
          </cell>
          <cell r="G275">
            <v>0.14402478458296522</v>
          </cell>
          <cell r="H275">
            <v>3.3825143233569006E-2</v>
          </cell>
          <cell r="I275">
            <v>2.6722324505313412E-4</v>
          </cell>
        </row>
        <row r="276">
          <cell r="A276" t="str">
            <v>T_TW-ICEGSL-S3</v>
          </cell>
          <cell r="B276" t="str">
            <v>VAR_fin</v>
          </cell>
          <cell r="C276" t="str">
            <v>TGSL</v>
          </cell>
          <cell r="D276">
            <v>0.16298981065306656</v>
          </cell>
          <cell r="E276">
            <v>0.19776259209326394</v>
          </cell>
          <cell r="F276">
            <v>0.20106215126693494</v>
          </cell>
          <cell r="G276">
            <v>0.19723778468321249</v>
          </cell>
          <cell r="H276">
            <v>4.6238294303513859E-2</v>
          </cell>
          <cell r="I276">
            <v>3.3598186772357215E-4</v>
          </cell>
        </row>
        <row r="277">
          <cell r="A277" t="str">
            <v>T_TW-ICEGSL-S3</v>
          </cell>
          <cell r="B277" t="str">
            <v>VAR_ncap</v>
          </cell>
          <cell r="C277" t="str">
            <v>-</v>
          </cell>
          <cell r="E277">
            <v>3.5693135777158497E-5</v>
          </cell>
          <cell r="F277">
            <v>4.1601616402195498E-5</v>
          </cell>
          <cell r="G277">
            <v>4.5140322153090003E-5</v>
          </cell>
          <cell r="H277">
            <v>3.28160925555944E-5</v>
          </cell>
          <cell r="I277">
            <v>2.6448839626929301E-5</v>
          </cell>
        </row>
        <row r="278">
          <cell r="A278" t="str">
            <v>T_TW-ICEGSL-S3</v>
          </cell>
          <cell r="B278" t="str">
            <v>VAR_cap</v>
          </cell>
          <cell r="C278" t="str">
            <v>-</v>
          </cell>
          <cell r="D278">
            <v>5.3234895446018365E-2</v>
          </cell>
          <cell r="E278">
            <v>6.909136895893643E-2</v>
          </cell>
          <cell r="F278">
            <v>6.9134349650198754E-2</v>
          </cell>
          <cell r="G278">
            <v>6.9180796424257548E-2</v>
          </cell>
          <cell r="H278">
            <v>1.6115321051193635E-2</v>
          </cell>
          <cell r="I278">
            <v>1.0465626314902028E-4</v>
          </cell>
        </row>
        <row r="279">
          <cell r="A279" t="str">
            <v>T_C-ICEGSLEXT</v>
          </cell>
          <cell r="B279" t="str">
            <v>VAR_fout</v>
          </cell>
          <cell r="C279" t="str">
            <v>CO2_T</v>
          </cell>
          <cell r="D279">
            <v>4722.2884734792497</v>
          </cell>
          <cell r="E279">
            <v>3858.0415543612098</v>
          </cell>
          <cell r="F279">
            <v>3072.2335403362199</v>
          </cell>
          <cell r="G279">
            <v>874.08227829102998</v>
          </cell>
        </row>
        <row r="280">
          <cell r="A280" t="str">
            <v>T_C-ICEGSLEXT</v>
          </cell>
          <cell r="B280" t="str">
            <v>VAR_fout</v>
          </cell>
          <cell r="C280" t="str">
            <v>TPCAR</v>
          </cell>
          <cell r="D280">
            <v>18.302988991828318</v>
          </cell>
          <cell r="E280">
            <v>15.293556399723425</v>
          </cell>
          <cell r="F280">
            <v>12.585011991699965</v>
          </cell>
          <cell r="G280">
            <v>3.7733010050885949</v>
          </cell>
        </row>
        <row r="281">
          <cell r="A281" t="str">
            <v>T_C-ICEGSLEXT</v>
          </cell>
          <cell r="B281" t="str">
            <v>VAR_fin</v>
          </cell>
          <cell r="C281" t="str">
            <v>TGSL</v>
          </cell>
          <cell r="D281">
            <v>63.987648692130854</v>
          </cell>
          <cell r="E281">
            <v>52.276985831452741</v>
          </cell>
          <cell r="F281">
            <v>41.629180763363465</v>
          </cell>
          <cell r="G281">
            <v>11.84393331017656</v>
          </cell>
        </row>
        <row r="282">
          <cell r="A282" t="str">
            <v>T_C-ICEGSLEXT</v>
          </cell>
          <cell r="B282" t="str">
            <v>VAR_cap</v>
          </cell>
          <cell r="C282" t="str">
            <v>-</v>
          </cell>
          <cell r="D282">
            <v>2.4943270000000002</v>
          </cell>
          <cell r="E282">
            <v>2.16175006666667</v>
          </cell>
          <cell r="F282">
            <v>1.6628846458914153</v>
          </cell>
          <cell r="G282">
            <v>0.8314421528122331</v>
          </cell>
        </row>
        <row r="283">
          <cell r="A283" t="str">
            <v>T_TW-ICEGSL-S4</v>
          </cell>
          <cell r="B283" t="str">
            <v>VAR_fout</v>
          </cell>
          <cell r="C283" t="str">
            <v>CO2_T</v>
          </cell>
          <cell r="D283">
            <v>7.8418030726552299</v>
          </cell>
          <cell r="E283">
            <v>9.3126512718355574</v>
          </cell>
          <cell r="F283">
            <v>9.467304403767443</v>
          </cell>
          <cell r="G283">
            <v>9.309909216873022</v>
          </cell>
          <cell r="H283">
            <v>8.4592362762928932</v>
          </cell>
          <cell r="I283">
            <v>0.52685895648084369</v>
          </cell>
        </row>
        <row r="284">
          <cell r="A284" t="str">
            <v>T_TW-ICEGSL-S4</v>
          </cell>
          <cell r="B284" t="str">
            <v>VAR_fout</v>
          </cell>
          <cell r="C284" t="str">
            <v>TPTWL</v>
          </cell>
          <cell r="D284">
            <v>7.1808991532748889E-2</v>
          </cell>
          <cell r="E284">
            <v>8.5355286252503854E-2</v>
          </cell>
          <cell r="F284">
            <v>8.6774016269016971E-2</v>
          </cell>
          <cell r="G284">
            <v>8.5333466685153542E-2</v>
          </cell>
          <cell r="H284">
            <v>7.7550664563078631E-2</v>
          </cell>
          <cell r="I284">
            <v>4.8512173275729953E-3</v>
          </cell>
        </row>
        <row r="285">
          <cell r="A285" t="str">
            <v>T_TW-ICEGSL-S4</v>
          </cell>
          <cell r="B285" t="str">
            <v>VAR_fin</v>
          </cell>
          <cell r="C285" t="str">
            <v>TGSL</v>
          </cell>
          <cell r="D285">
            <v>0.10625749420942042</v>
          </cell>
          <cell r="E285">
            <v>0.12618768661023799</v>
          </cell>
          <cell r="F285">
            <v>0.12828325750362432</v>
          </cell>
          <cell r="G285">
            <v>0.12615053139394339</v>
          </cell>
          <cell r="H285">
            <v>0.11462379778174631</v>
          </cell>
          <cell r="I285">
            <v>7.1390102504179419E-3</v>
          </cell>
        </row>
        <row r="286">
          <cell r="A286" t="str">
            <v>T_TW-ICEGSL-S4</v>
          </cell>
          <cell r="B286" t="str">
            <v>VAR_ncap</v>
          </cell>
          <cell r="C286" t="str">
            <v>-</v>
          </cell>
          <cell r="E286">
            <v>1.95374843471072E-5</v>
          </cell>
          <cell r="F286">
            <v>2.1857391670316E-5</v>
          </cell>
          <cell r="G286">
            <v>1.9151436914128602E-5</v>
          </cell>
          <cell r="H286">
            <v>1.61197711498941E-5</v>
          </cell>
          <cell r="I286">
            <v>1.2597195225403201E-5</v>
          </cell>
        </row>
        <row r="287">
          <cell r="A287" t="str">
            <v>T_TW-ICEGSL-S4</v>
          </cell>
          <cell r="B287" t="str">
            <v>VAR_cap</v>
          </cell>
          <cell r="C287" t="str">
            <v>-</v>
          </cell>
          <cell r="D287">
            <v>3.2743807742019113E-2</v>
          </cell>
          <cell r="E287">
            <v>4.0891414145905712E-2</v>
          </cell>
          <cell r="F287">
            <v>4.0914669556626995E-2</v>
          </cell>
          <cell r="G287">
            <v>4.0935078921288039E-2</v>
          </cell>
          <cell r="H287">
            <v>3.7116634354486609E-2</v>
          </cell>
          <cell r="I287">
            <v>2.2711622557835547E-3</v>
          </cell>
        </row>
        <row r="288">
          <cell r="A288" t="str">
            <v>T_C-ICEDSLEXT</v>
          </cell>
          <cell r="B288" t="str">
            <v>VAR_fout</v>
          </cell>
          <cell r="C288" t="str">
            <v>CO2_T</v>
          </cell>
          <cell r="D288">
            <v>3821.2865520940099</v>
          </cell>
          <cell r="E288">
            <v>3569.77748204314</v>
          </cell>
          <cell r="F288">
            <v>2555.7140673744798</v>
          </cell>
          <cell r="G288">
            <v>1175.1460506590199</v>
          </cell>
        </row>
        <row r="289">
          <cell r="A289" t="str">
            <v>T_C-ICEDSLEXT</v>
          </cell>
          <cell r="B289" t="str">
            <v>VAR_fout</v>
          </cell>
          <cell r="C289" t="str">
            <v>TPCAR</v>
          </cell>
          <cell r="D289">
            <v>17.673763108887862</v>
          </cell>
          <cell r="E289">
            <v>17.235950853574685</v>
          </cell>
          <cell r="F289">
            <v>13.118795110571593</v>
          </cell>
          <cell r="G289">
            <v>6.6291921755432455</v>
          </cell>
        </row>
        <row r="290">
          <cell r="A290" t="str">
            <v>T_C-ICEDSLEXT</v>
          </cell>
          <cell r="B290" t="str">
            <v>VAR_fin</v>
          </cell>
          <cell r="C290" t="str">
            <v>TDSL</v>
          </cell>
          <cell r="D290">
            <v>52.132149414652311</v>
          </cell>
          <cell r="E290">
            <v>48.700920628146562</v>
          </cell>
          <cell r="F290">
            <v>34.866494780006583</v>
          </cell>
          <cell r="G290">
            <v>16.032006148144923</v>
          </cell>
        </row>
        <row r="291">
          <cell r="A291" t="str">
            <v>T_C-ICEDSLEXT</v>
          </cell>
          <cell r="B291" t="str">
            <v>VAR_cap</v>
          </cell>
          <cell r="C291" t="str">
            <v>-</v>
          </cell>
          <cell r="D291">
            <v>1.059558</v>
          </cell>
          <cell r="E291">
            <v>0.91828359999999998</v>
          </cell>
          <cell r="F291">
            <v>0.70637194088548405</v>
          </cell>
          <cell r="G291">
            <v>0.35318471930723938</v>
          </cell>
        </row>
        <row r="292">
          <cell r="A292" t="str">
            <v>T-Plg-ELC-GSL_S1</v>
          </cell>
          <cell r="B292" t="str">
            <v>VAR_fout</v>
          </cell>
          <cell r="C292" t="str">
            <v>T-PEVmix-ELC_GSL_S1</v>
          </cell>
          <cell r="E292">
            <v>7.0997715697742158E-5</v>
          </cell>
          <cell r="F292">
            <v>1.1454095816223773E-4</v>
          </cell>
          <cell r="G292">
            <v>1.8740985234159401E-4</v>
          </cell>
          <cell r="H292">
            <v>2.9815786396998492E-4</v>
          </cell>
          <cell r="I292">
            <v>2.6988675949498415E-4</v>
          </cell>
        </row>
        <row r="293">
          <cell r="A293" t="str">
            <v>T-Plg-ELC-GSL_S1</v>
          </cell>
          <cell r="B293" t="str">
            <v>VAR_fin</v>
          </cell>
          <cell r="C293" t="str">
            <v>T-ELC-car-PlgSTGOut_S1</v>
          </cell>
          <cell r="E293">
            <v>3.8979522583289021E-5</v>
          </cell>
          <cell r="F293">
            <v>6.2885852333675811E-5</v>
          </cell>
          <cell r="G293">
            <v>1.0289269872822601E-4</v>
          </cell>
          <cell r="H293">
            <v>1.5623220131965731E-4</v>
          </cell>
          <cell r="I293">
            <v>1.3263330110060989E-4</v>
          </cell>
        </row>
        <row r="294">
          <cell r="A294" t="str">
            <v>T-Plg-ELC-GSL_S2</v>
          </cell>
          <cell r="B294" t="str">
            <v>VAR_fout</v>
          </cell>
          <cell r="C294" t="str">
            <v>T-PEVmix-ELC_GSL_S2</v>
          </cell>
          <cell r="D294">
            <v>1.4958355810261966E-3</v>
          </cell>
          <cell r="E294">
            <v>1.0878207619044176E-3</v>
          </cell>
          <cell r="F294">
            <v>4.1658898741473629E-3</v>
          </cell>
          <cell r="G294">
            <v>3.3568720826819675E-3</v>
          </cell>
          <cell r="H294">
            <v>1.0614850787454692E-3</v>
          </cell>
          <cell r="I294">
            <v>7.4800664004889611E-4</v>
          </cell>
        </row>
        <row r="295">
          <cell r="A295" t="str">
            <v>T-Plg-ELC-GSL_S2</v>
          </cell>
          <cell r="B295" t="str">
            <v>VAR_fin</v>
          </cell>
          <cell r="C295" t="str">
            <v>T-ELC-car-PlgSTGOut_S2</v>
          </cell>
          <cell r="D295">
            <v>9.9514256629131795E-4</v>
          </cell>
          <cell r="E295">
            <v>7.2370035744428411E-4</v>
          </cell>
          <cell r="F295">
            <v>2.7714639181145532E-3</v>
          </cell>
          <cell r="G295">
            <v>2.2332443093645822E-3</v>
          </cell>
          <cell r="H295">
            <v>6.7106752562108107E-4</v>
          </cell>
          <cell r="I295">
            <v>4.4114972926958152E-4</v>
          </cell>
        </row>
        <row r="296">
          <cell r="A296" t="str">
            <v>T-Plg-ELC-DSL_S1</v>
          </cell>
          <cell r="B296" t="str">
            <v>VAR_fout</v>
          </cell>
          <cell r="C296" t="str">
            <v>T-PEVmix-ELC_DSL_S1</v>
          </cell>
          <cell r="E296">
            <v>5.2740196586305706E-5</v>
          </cell>
          <cell r="F296">
            <v>9.698349965840916E-5</v>
          </cell>
          <cell r="G296">
            <v>1.6974572004696184E-4</v>
          </cell>
          <cell r="H296">
            <v>2.9988012585606562E-4</v>
          </cell>
          <cell r="I296">
            <v>2.6443865235205636E-4</v>
          </cell>
        </row>
        <row r="297">
          <cell r="A297" t="str">
            <v>T-Plg-ELC-DSL_S1</v>
          </cell>
          <cell r="B297" t="str">
            <v>VAR_fin</v>
          </cell>
          <cell r="C297" t="str">
            <v>T-ELC-car-PlgSTGOut_S1</v>
          </cell>
          <cell r="E297">
            <v>2.8955687710222834E-5</v>
          </cell>
          <cell r="F297">
            <v>5.3246368252684305E-5</v>
          </cell>
          <cell r="G297">
            <v>9.3194648066650775E-5</v>
          </cell>
          <cell r="H297">
            <v>1.5713567670208966E-4</v>
          </cell>
          <cell r="I297">
            <v>1.299988830600016E-4</v>
          </cell>
        </row>
        <row r="298">
          <cell r="A298" t="str">
            <v>T_TRM_ELC</v>
          </cell>
          <cell r="B298" t="str">
            <v>VAR_fout</v>
          </cell>
          <cell r="C298" t="str">
            <v>TPTRM</v>
          </cell>
          <cell r="D298">
            <v>3.3477999999999994E-2</v>
          </cell>
          <cell r="E298">
            <v>3.4238693943285006E-2</v>
          </cell>
          <cell r="F298">
            <v>3.5370833501607003E-2</v>
          </cell>
          <cell r="G298">
            <v>3.726366700321395E-2</v>
          </cell>
          <cell r="H298">
            <v>3.9048512196511807E-2</v>
          </cell>
          <cell r="I298">
            <v>4.0347931071859175E-2</v>
          </cell>
        </row>
        <row r="299">
          <cell r="A299" t="str">
            <v>T_TRM_ELC</v>
          </cell>
          <cell r="B299" t="str">
            <v>VAR_fin</v>
          </cell>
          <cell r="C299" t="str">
            <v>TELC</v>
          </cell>
          <cell r="D299">
            <v>0.58772895164057959</v>
          </cell>
          <cell r="E299">
            <v>0.61504030570008339</v>
          </cell>
          <cell r="F299">
            <v>0.65830556959273911</v>
          </cell>
          <cell r="G299">
            <v>0.7379148962536346</v>
          </cell>
          <cell r="H299">
            <v>0.77325934733858914</v>
          </cell>
          <cell r="I299">
            <v>0.79899112903654423</v>
          </cell>
        </row>
        <row r="300">
          <cell r="A300" t="str">
            <v>T-Plg-ELC-GSL_S3</v>
          </cell>
          <cell r="B300" t="str">
            <v>VAR_fout</v>
          </cell>
          <cell r="C300" t="str">
            <v>T-PEVmix-ELC_GSL_S3</v>
          </cell>
          <cell r="E300">
            <v>0.10599290644166365</v>
          </cell>
          <cell r="F300">
            <v>0.22865275479478961</v>
          </cell>
          <cell r="G300">
            <v>0.38418970072749081</v>
          </cell>
          <cell r="H300">
            <v>0.36646265129700278</v>
          </cell>
          <cell r="I300">
            <v>0.9627333335483077</v>
          </cell>
        </row>
        <row r="301">
          <cell r="A301" t="str">
            <v>T-Plg-ELC-GSL_S3</v>
          </cell>
          <cell r="B301" t="str">
            <v>VAR_fin</v>
          </cell>
          <cell r="C301" t="str">
            <v>T-ELC-car-PlgSTGOut_S3</v>
          </cell>
          <cell r="E301">
            <v>7.5646267019368801E-2</v>
          </cell>
          <cell r="F301">
            <v>0.16318759362864257</v>
          </cell>
          <cell r="G301">
            <v>0.27419303482652019</v>
          </cell>
          <cell r="H301">
            <v>0.23874244304443973</v>
          </cell>
          <cell r="I301">
            <v>0.59626672737993014</v>
          </cell>
        </row>
        <row r="302">
          <cell r="A302" t="str">
            <v>T-Plg-ELC-DSL_S2</v>
          </cell>
          <cell r="B302" t="str">
            <v>VAR_fout</v>
          </cell>
          <cell r="C302" t="str">
            <v>T-PEVmix-ELC_DSL_S2</v>
          </cell>
          <cell r="E302">
            <v>5.5453934984274634E-5</v>
          </cell>
          <cell r="F302">
            <v>2.643164298315999E-4</v>
          </cell>
          <cell r="G302">
            <v>5.4068484024459693E-4</v>
          </cell>
          <cell r="H302">
            <v>1.1492830668791089E-3</v>
          </cell>
          <cell r="I302">
            <v>7.0962379970179897E-4</v>
          </cell>
        </row>
        <row r="303">
          <cell r="A303" t="str">
            <v>T-Plg-ELC-DSL_S2</v>
          </cell>
          <cell r="B303" t="str">
            <v>VAR_fin</v>
          </cell>
          <cell r="C303" t="str">
            <v>T-ELC-car-PlgSTGOut_S2</v>
          </cell>
          <cell r="E303">
            <v>3.6892136990981538E-5</v>
          </cell>
          <cell r="F303">
            <v>1.7584321006398838E-4</v>
          </cell>
          <cell r="G303">
            <v>3.5970430594162758E-4</v>
          </cell>
          <cell r="H303">
            <v>7.2634952567808228E-4</v>
          </cell>
          <cell r="I303">
            <v>4.195733828209123E-4</v>
          </cell>
        </row>
        <row r="304">
          <cell r="A304" t="str">
            <v>T_TW-ICEGSLEXT</v>
          </cell>
          <cell r="B304" t="str">
            <v>VAR_fout</v>
          </cell>
          <cell r="C304" t="str">
            <v>CO2_T</v>
          </cell>
          <cell r="D304">
            <v>146.45484275577499</v>
          </cell>
          <cell r="E304">
            <v>110.495391926793</v>
          </cell>
          <cell r="F304">
            <v>76.677578274543094</v>
          </cell>
          <cell r="G304">
            <v>33.4425581655467</v>
          </cell>
        </row>
        <row r="305">
          <cell r="A305" t="str">
            <v>T_TW-ICEGSLEXT</v>
          </cell>
          <cell r="B305" t="str">
            <v>VAR_fout</v>
          </cell>
          <cell r="C305" t="str">
            <v>TPTWL</v>
          </cell>
          <cell r="D305">
            <v>1.5303640141213577</v>
          </cell>
          <cell r="E305">
            <v>1.178674902568202</v>
          </cell>
          <cell r="F305">
            <v>0.84298391023514541</v>
          </cell>
          <cell r="G305">
            <v>0.38587239345982649</v>
          </cell>
        </row>
        <row r="306">
          <cell r="A306" t="str">
            <v>T_TW-ICEGSLEXT</v>
          </cell>
          <cell r="B306" t="str">
            <v>VAR_fin</v>
          </cell>
          <cell r="C306" t="str">
            <v>TGSL</v>
          </cell>
          <cell r="D306">
            <v>1.9844829641703878</v>
          </cell>
          <cell r="E306">
            <v>1.4972275328833791</v>
          </cell>
          <cell r="F306">
            <v>1.0389915755358146</v>
          </cell>
          <cell r="G306">
            <v>0.45315119465510373</v>
          </cell>
        </row>
        <row r="307">
          <cell r="A307" t="str">
            <v>T_TW-ICEGSLEXT</v>
          </cell>
          <cell r="B307" t="str">
            <v>VAR_cap</v>
          </cell>
          <cell r="C307" t="str">
            <v>-</v>
          </cell>
          <cell r="D307">
            <v>0.55779800000000002</v>
          </cell>
          <cell r="E307">
            <v>0.48342493333333297</v>
          </cell>
          <cell r="F307">
            <v>0.37186388774193552</v>
          </cell>
          <cell r="G307">
            <v>0.18593201622230746</v>
          </cell>
        </row>
        <row r="308">
          <cell r="A308" t="str">
            <v>T-Plg-ELC-GSL_S4</v>
          </cell>
          <cell r="B308" t="str">
            <v>VAR_fout</v>
          </cell>
          <cell r="C308" t="str">
            <v>T-PEVmix-ELC_GSL_S4</v>
          </cell>
          <cell r="E308">
            <v>3.9444518281039014E-4</v>
          </cell>
          <cell r="F308">
            <v>6.8927798954322422E-3</v>
          </cell>
          <cell r="G308">
            <v>8.3209049599701195E-3</v>
          </cell>
          <cell r="H308">
            <v>1.7408219072707356E-3</v>
          </cell>
          <cell r="I308">
            <v>1.3558679938366321E-3</v>
          </cell>
        </row>
        <row r="309">
          <cell r="A309" t="str">
            <v>T-Plg-ELC-GSL_S4</v>
          </cell>
          <cell r="B309" t="str">
            <v>VAR_fin</v>
          </cell>
          <cell r="C309" t="str">
            <v>T-ELC-car-PlgSTGOut_S4</v>
          </cell>
          <cell r="E309">
            <v>2.9449404361484314E-4</v>
          </cell>
          <cell r="F309">
            <v>5.146171664945156E-3</v>
          </cell>
          <cell r="G309">
            <v>6.212414436746581E-3</v>
          </cell>
          <cell r="H309">
            <v>1.2353244942665408E-3</v>
          </cell>
          <cell r="I309">
            <v>8.9559708992898042E-4</v>
          </cell>
        </row>
        <row r="310">
          <cell r="A310" t="str">
            <v>T-Plg-ELC-DSL_S3</v>
          </cell>
          <cell r="B310" t="str">
            <v>VAR_fout</v>
          </cell>
          <cell r="C310" t="str">
            <v>T-PEVmix-ELC_DSL_S3</v>
          </cell>
          <cell r="E310">
            <v>1.4024151424161925E-3</v>
          </cell>
          <cell r="F310">
            <v>0.19031636106060371</v>
          </cell>
          <cell r="G310">
            <v>1.459756088939272</v>
          </cell>
          <cell r="H310">
            <v>4.3953471193643221</v>
          </cell>
          <cell r="I310">
            <v>3.2824730121714301</v>
          </cell>
        </row>
        <row r="311">
          <cell r="A311" t="str">
            <v>T-Plg-ELC-DSL_S3</v>
          </cell>
          <cell r="B311" t="str">
            <v>VAR_fin</v>
          </cell>
          <cell r="C311" t="str">
            <v>T-ELC-car-PlgSTGOut_S3</v>
          </cell>
          <cell r="E311">
            <v>1.0008921719078421E-3</v>
          </cell>
          <cell r="F311">
            <v>0.13582722420078841</v>
          </cell>
          <cell r="G311">
            <v>1.0418159346146936</v>
          </cell>
          <cell r="H311">
            <v>2.8554547803134209</v>
          </cell>
          <cell r="I311">
            <v>2.0792090685950706</v>
          </cell>
        </row>
        <row r="312">
          <cell r="A312" t="str">
            <v>T-Plg-ELC-DSL_S4</v>
          </cell>
          <cell r="B312" t="str">
            <v>VAR_fout</v>
          </cell>
          <cell r="C312" t="str">
            <v>T-PEVmix-ELC_DSL_S4</v>
          </cell>
          <cell r="E312">
            <v>4.9011939475561883E-4</v>
          </cell>
          <cell r="F312">
            <v>8.3403718573942984E-4</v>
          </cell>
          <cell r="G312">
            <v>1.1905905563228476E-3</v>
          </cell>
          <cell r="H312">
            <v>1.8805293564548738E-3</v>
          </cell>
          <cell r="I312">
            <v>1.168999270871488E-3</v>
          </cell>
        </row>
        <row r="313">
          <cell r="A313" t="str">
            <v>T-Plg-ELC-DSL_S4</v>
          </cell>
          <cell r="B313" t="str">
            <v>VAR_fin</v>
          </cell>
          <cell r="C313" t="str">
            <v>T-ELC-car-PlgSTGOut_S4</v>
          </cell>
          <cell r="E313">
            <v>3.6592471832778051E-4</v>
          </cell>
          <cell r="F313">
            <v>6.2269484850476235E-4</v>
          </cell>
          <cell r="G313">
            <v>8.8889874309786097E-4</v>
          </cell>
          <cell r="H313">
            <v>1.3338938632529863E-3</v>
          </cell>
          <cell r="I313">
            <v>7.7831517445772086E-4</v>
          </cell>
        </row>
        <row r="314">
          <cell r="A314" t="str">
            <v>TFLGV-ICENGA</v>
          </cell>
          <cell r="B314" t="str">
            <v>VAR_fout</v>
          </cell>
          <cell r="C314" t="str">
            <v>CO2_T</v>
          </cell>
          <cell r="D314">
            <v>1.4296856424342259</v>
          </cell>
          <cell r="E314">
            <v>1.2632411532830807</v>
          </cell>
          <cell r="F314">
            <v>1.775686298685482</v>
          </cell>
          <cell r="G314">
            <v>8.9121207151029082E-3</v>
          </cell>
          <cell r="H314">
            <v>8.9845964806895082E-3</v>
          </cell>
          <cell r="I314">
            <v>7.6783821245039689E-3</v>
          </cell>
        </row>
        <row r="315">
          <cell r="A315" t="str">
            <v>TFLGV-ICENGA</v>
          </cell>
          <cell r="B315" t="str">
            <v>VAR_fout</v>
          </cell>
          <cell r="C315" t="str">
            <v>TFLGV</v>
          </cell>
          <cell r="D315">
            <v>8.1263161427261744E-3</v>
          </cell>
          <cell r="E315">
            <v>7.1802476512262932E-3</v>
          </cell>
          <cell r="F315">
            <v>1.0092979746832265E-2</v>
          </cell>
          <cell r="G315">
            <v>5.0656387868423913E-5</v>
          </cell>
          <cell r="H315">
            <v>5.1068339255751339E-5</v>
          </cell>
          <cell r="I315">
            <v>4.3643832431678928E-5</v>
          </cell>
        </row>
        <row r="316">
          <cell r="A316" t="str">
            <v>TFLGV-ICENGA</v>
          </cell>
          <cell r="B316" t="str">
            <v>VAR_fin</v>
          </cell>
          <cell r="C316" t="str">
            <v>TNGA</v>
          </cell>
          <cell r="D316">
            <v>2.5349036213372804E-2</v>
          </cell>
          <cell r="E316">
            <v>2.2397892788707099E-2</v>
          </cell>
          <cell r="F316">
            <v>3.1483799622082961E-2</v>
          </cell>
          <cell r="G316">
            <v>1.5801632473586716E-4</v>
          </cell>
          <cell r="H316">
            <v>1.5930135604059421E-4</v>
          </cell>
          <cell r="I316">
            <v>1.3614152703021208E-4</v>
          </cell>
        </row>
        <row r="317">
          <cell r="A317" t="str">
            <v>TFLGV-ICENGA</v>
          </cell>
          <cell r="B317" t="str">
            <v>VAR_ncap</v>
          </cell>
          <cell r="C317" t="str">
            <v>-</v>
          </cell>
          <cell r="D317">
            <v>1.83758196794966E-8</v>
          </cell>
          <cell r="E317">
            <v>1.6281163804017501E-6</v>
          </cell>
          <cell r="F317">
            <v>1.48492843671901E-6</v>
          </cell>
          <cell r="G317">
            <v>7.7325357196636803E-7</v>
          </cell>
          <cell r="H317">
            <v>1.2127186398731099E-6</v>
          </cell>
          <cell r="I317">
            <v>2.30175383956506E-6</v>
          </cell>
        </row>
        <row r="318">
          <cell r="A318" t="str">
            <v>TFLGV-ICENGA</v>
          </cell>
          <cell r="B318" t="str">
            <v>VAR_cap</v>
          </cell>
          <cell r="C318" t="str">
            <v>-</v>
          </cell>
          <cell r="D318">
            <v>5.8268913003174465E-4</v>
          </cell>
          <cell r="E318">
            <v>7.1026698011872184E-4</v>
          </cell>
          <cell r="F318">
            <v>7.1204355173878431E-4</v>
          </cell>
          <cell r="G318">
            <v>3.4236353748514844E-6</v>
          </cell>
          <cell r="H318">
            <v>3.8262804654085459E-6</v>
          </cell>
          <cell r="I318">
            <v>3.3571010238372895E-6</v>
          </cell>
        </row>
        <row r="319">
          <cell r="A319" t="str">
            <v>TFLGV-BEVELC</v>
          </cell>
          <cell r="B319" t="str">
            <v>VAR_fout</v>
          </cell>
          <cell r="C319" t="str">
            <v>TFLGV</v>
          </cell>
          <cell r="D319">
            <v>2.4070707016888012E-2</v>
          </cell>
          <cell r="E319">
            <v>7.2702685045630475E-2</v>
          </cell>
          <cell r="F319">
            <v>0.2217431251715416</v>
          </cell>
          <cell r="G319">
            <v>0.85881016775542074</v>
          </cell>
          <cell r="H319">
            <v>3.2790337695306855</v>
          </cell>
          <cell r="I319">
            <v>3.5138184547035833</v>
          </cell>
        </row>
        <row r="320">
          <cell r="A320" t="str">
            <v>TFLGV-BEVELC</v>
          </cell>
          <cell r="B320" t="str">
            <v>VAR_fin</v>
          </cell>
          <cell r="C320" t="str">
            <v>T-ELC-LGV_BatSTGout</v>
          </cell>
          <cell r="D320">
            <v>3.532756966143509E-2</v>
          </cell>
          <cell r="E320">
            <v>0.10670268923637703</v>
          </cell>
          <cell r="F320">
            <v>0.32544310792141923</v>
          </cell>
          <cell r="G320">
            <v>1.2604397538486105</v>
          </cell>
          <cell r="H320">
            <v>4.8125006811814739</v>
          </cell>
          <cell r="I320">
            <v>5.1570843411073906</v>
          </cell>
        </row>
        <row r="321">
          <cell r="A321" t="str">
            <v>TFLGV-BEVELC</v>
          </cell>
          <cell r="B321" t="str">
            <v>VAR_ncap</v>
          </cell>
          <cell r="C321" t="str">
            <v>-</v>
          </cell>
          <cell r="E321">
            <v>2.5018664826572199E-3</v>
          </cell>
          <cell r="F321">
            <v>1.03777579095176E-2</v>
          </cell>
          <cell r="G321">
            <v>4.5557618348050902E-2</v>
          </cell>
          <cell r="H321">
            <v>0.19583879107273799</v>
          </cell>
          <cell r="I321">
            <v>0.22936513041697501</v>
          </cell>
        </row>
        <row r="322">
          <cell r="A322" t="str">
            <v>TFLGV-BEVELC</v>
          </cell>
          <cell r="B322" t="str">
            <v>VAR_cap</v>
          </cell>
          <cell r="C322" t="str">
            <v>-</v>
          </cell>
          <cell r="D322">
            <v>1.6987529516028703E-3</v>
          </cell>
          <cell r="E322">
            <v>5.0937450496203228E-3</v>
          </cell>
          <cell r="F322">
            <v>1.5471624392174801E-2</v>
          </cell>
          <cell r="G322">
            <v>5.9887760261564171E-2</v>
          </cell>
          <cell r="H322">
            <v>0.3256234263448296</v>
          </cell>
          <cell r="I322">
            <v>0.34893898115592842</v>
          </cell>
        </row>
        <row r="323">
          <cell r="A323" t="str">
            <v>T_B_c-BEVELC-S1</v>
          </cell>
          <cell r="B323" t="str">
            <v>VAR_fout</v>
          </cell>
          <cell r="C323" t="str">
            <v>TPBSc</v>
          </cell>
          <cell r="D323">
            <v>1.4042326009662691E-4</v>
          </cell>
          <cell r="E323">
            <v>1.8502852714844385E-4</v>
          </cell>
          <cell r="F323">
            <v>2.7837598310618173E-4</v>
          </cell>
          <cell r="G323">
            <v>6.4538365665320049E-2</v>
          </cell>
          <cell r="H323">
            <v>6.3820609823162566E-2</v>
          </cell>
          <cell r="I323">
            <v>6.2729641353828164E-2</v>
          </cell>
        </row>
        <row r="324">
          <cell r="A324" t="str">
            <v>T_B_c-BEVELC-S1</v>
          </cell>
          <cell r="B324" t="str">
            <v>VAR_fin</v>
          </cell>
          <cell r="C324" t="str">
            <v>T-ELC-Bus_c_BatSTGout_S1</v>
          </cell>
          <cell r="D324">
            <v>3.7081007471461043E-4</v>
          </cell>
          <cell r="E324">
            <v>4.8160941728103159E-4</v>
          </cell>
          <cell r="F324">
            <v>7.0393441785332055E-4</v>
          </cell>
          <cell r="G324">
            <v>0.14432854363477354</v>
          </cell>
          <cell r="H324">
            <v>0.13538432512086473</v>
          </cell>
          <cell r="I324">
            <v>0.11832455488565992</v>
          </cell>
        </row>
        <row r="325">
          <cell r="A325" t="str">
            <v>T_B_c-BEVELC-S1</v>
          </cell>
          <cell r="B325" t="str">
            <v>VAR_ncap</v>
          </cell>
          <cell r="C325" t="str">
            <v>-</v>
          </cell>
          <cell r="E325">
            <v>1.19050541046763E-6</v>
          </cell>
          <cell r="F325">
            <v>2.6463087939720698E-6</v>
          </cell>
          <cell r="G325">
            <v>1.4026984208521699E-3</v>
          </cell>
          <cell r="H325">
            <v>2.0049824505869501E-5</v>
          </cell>
          <cell r="I325">
            <v>1.1613704621412E-3</v>
          </cell>
        </row>
        <row r="326">
          <cell r="A326" t="str">
            <v>T_B_c-BEVELC-S1</v>
          </cell>
          <cell r="B326" t="str">
            <v>VAR_cap</v>
          </cell>
          <cell r="C326" t="str">
            <v>-</v>
          </cell>
          <cell r="D326">
            <v>3.0857852141618592E-6</v>
          </cell>
          <cell r="E326">
            <v>4.1522401135871014E-6</v>
          </cell>
          <cell r="F326">
            <v>6.3300935414927885E-6</v>
          </cell>
          <cell r="G326">
            <v>1.408004655917453E-3</v>
          </cell>
          <cell r="H326">
            <v>1.387346119466193E-3</v>
          </cell>
          <cell r="I326">
            <v>1.4111358387094786E-3</v>
          </cell>
        </row>
        <row r="327">
          <cell r="A327" t="str">
            <v>T_B_c-BEVELC-S2</v>
          </cell>
          <cell r="B327" t="str">
            <v>VAR_fout</v>
          </cell>
          <cell r="C327" t="str">
            <v>TPBSc</v>
          </cell>
          <cell r="D327">
            <v>1.8368437097902063E-4</v>
          </cell>
          <cell r="E327">
            <v>1.8132893261091698E-4</v>
          </cell>
          <cell r="F327">
            <v>2.638772838528171E-4</v>
          </cell>
          <cell r="G327">
            <v>2.2599343388612032E-2</v>
          </cell>
          <cell r="H327">
            <v>2.3303860817116794E-2</v>
          </cell>
          <cell r="I327">
            <v>2.2391980951784969E-2</v>
          </cell>
        </row>
        <row r="328">
          <cell r="A328" t="str">
            <v>T_B_c-BEVELC-S2</v>
          </cell>
          <cell r="B328" t="str">
            <v>VAR_fin</v>
          </cell>
          <cell r="C328" t="str">
            <v>T-ELC-Bus_c_BatSTGout_S2</v>
          </cell>
          <cell r="D328">
            <v>6.6750454397754755E-4</v>
          </cell>
          <cell r="E328">
            <v>6.5055561787712385E-4</v>
          </cell>
          <cell r="F328">
            <v>9.2785564079656034E-4</v>
          </cell>
          <cell r="G328">
            <v>6.9767066467802702E-2</v>
          </cell>
          <cell r="H328">
            <v>6.6330748119690211E-2</v>
          </cell>
          <cell r="I328">
            <v>5.9350534164807206E-2</v>
          </cell>
        </row>
        <row r="329">
          <cell r="A329" t="str">
            <v>T_B_c-BEVELC-S2</v>
          </cell>
          <cell r="B329" t="str">
            <v>VAR_ncap</v>
          </cell>
          <cell r="C329" t="str">
            <v>-</v>
          </cell>
          <cell r="E329">
            <v>6.2964492043931499E-7</v>
          </cell>
          <cell r="F329">
            <v>1.7045785914930499E-6</v>
          </cell>
          <cell r="G329">
            <v>4.86278648008161E-4</v>
          </cell>
          <cell r="H329">
            <v>3.9695675211472902E-4</v>
          </cell>
          <cell r="I329">
            <v>2.8349708395828999E-4</v>
          </cell>
        </row>
        <row r="330">
          <cell r="A330" t="str">
            <v>T_B_c-BEVELC-S2</v>
          </cell>
          <cell r="B330" t="str">
            <v>VAR_cap</v>
          </cell>
          <cell r="C330" t="str">
            <v>-</v>
          </cell>
          <cell r="D330">
            <v>4.2634344368916001E-6</v>
          </cell>
          <cell r="E330">
            <v>4.1178913814320164E-6</v>
          </cell>
          <cell r="F330">
            <v>5.8965156684607612E-6</v>
          </cell>
          <cell r="G330">
            <v>4.91198683520162E-4</v>
          </cell>
          <cell r="H330">
            <v>5.0653492636979489E-4</v>
          </cell>
          <cell r="I330">
            <v>4.867715154886459E-4</v>
          </cell>
        </row>
        <row r="331">
          <cell r="A331" t="str">
            <v>T_B_c-BEVELC-S3</v>
          </cell>
          <cell r="B331" t="str">
            <v>VAR_fout</v>
          </cell>
          <cell r="C331" t="str">
            <v>TPBSc</v>
          </cell>
          <cell r="D331">
            <v>5.8971642599494356E-5</v>
          </cell>
          <cell r="E331">
            <v>9.0901383406823884E-5</v>
          </cell>
          <cell r="F331">
            <v>1.1646881689530402E-4</v>
          </cell>
          <cell r="G331">
            <v>1.4252496223285933E-4</v>
          </cell>
          <cell r="H331">
            <v>3.8388368664469711E-4</v>
          </cell>
          <cell r="I331">
            <v>2.1466585853371868E-4</v>
          </cell>
        </row>
        <row r="332">
          <cell r="A332" t="str">
            <v>T_B_c-BEVELC-S3</v>
          </cell>
          <cell r="B332" t="str">
            <v>VAR_fin</v>
          </cell>
          <cell r="C332" t="str">
            <v>T-ELC-Bus_c_BatSTGout_S3</v>
          </cell>
          <cell r="D332">
            <v>3.2230153237937159E-4</v>
          </cell>
          <cell r="E332">
            <v>4.9215512502227658E-4</v>
          </cell>
          <cell r="F332">
            <v>6.224517552908148E-4</v>
          </cell>
          <cell r="G332">
            <v>7.0056262454860777E-4</v>
          </cell>
          <cell r="H332">
            <v>1.6399765233612608E-3</v>
          </cell>
          <cell r="I332">
            <v>8.4665956795870821E-4</v>
          </cell>
        </row>
        <row r="333">
          <cell r="A333" t="str">
            <v>T_B_c-BEVELC-S3</v>
          </cell>
          <cell r="B333" t="str">
            <v>VAR_ncap</v>
          </cell>
          <cell r="C333" t="str">
            <v>-</v>
          </cell>
          <cell r="E333">
            <v>3.0510682813250199E-7</v>
          </cell>
          <cell r="F333">
            <v>4.72957878915166E-7</v>
          </cell>
          <cell r="G333">
            <v>1.7298467427235801E-6</v>
          </cell>
          <cell r="H333">
            <v>4.8586661330044398E-6</v>
          </cell>
          <cell r="I333">
            <v>3.0492413848952098E-6</v>
          </cell>
        </row>
        <row r="334">
          <cell r="A334" t="str">
            <v>T_B_c-BEVELC-S3</v>
          </cell>
          <cell r="B334" t="str">
            <v>VAR_cap</v>
          </cell>
          <cell r="C334" t="str">
            <v>-</v>
          </cell>
          <cell r="D334">
            <v>1.1579462541344502E-6</v>
          </cell>
          <cell r="E334">
            <v>1.9200861912555821E-6</v>
          </cell>
          <cell r="F334">
            <v>2.4495415938956582E-6</v>
          </cell>
          <cell r="G334">
            <v>3.1402694267779507E-6</v>
          </cell>
          <cell r="H334">
            <v>8.4072978187158702E-6</v>
          </cell>
          <cell r="I334">
            <v>4.7134377662864103E-6</v>
          </cell>
        </row>
        <row r="335">
          <cell r="A335" t="str">
            <v>T_B_c-BEVELC-S4</v>
          </cell>
          <cell r="B335" t="str">
            <v>VAR_fout</v>
          </cell>
          <cell r="C335" t="str">
            <v>TPBSc</v>
          </cell>
          <cell r="E335">
            <v>7.1336549863369649E-6</v>
          </cell>
          <cell r="F335">
            <v>1.450336124890391E-5</v>
          </cell>
          <cell r="G335">
            <v>1.177025123944077E-5</v>
          </cell>
          <cell r="H335">
            <v>1.9717003409675263E-5</v>
          </cell>
          <cell r="I335">
            <v>6.6675859759385252E-6</v>
          </cell>
        </row>
        <row r="336">
          <cell r="A336" t="str">
            <v>T_B_c-BEVELC-S4</v>
          </cell>
          <cell r="B336" t="str">
            <v>VAR_fin</v>
          </cell>
          <cell r="C336" t="str">
            <v>T-ELC-Bus_c_BatSTGout_S4</v>
          </cell>
          <cell r="E336">
            <v>5.6421837223398052E-5</v>
          </cell>
          <cell r="F336">
            <v>1.1188082804122243E-4</v>
          </cell>
          <cell r="G336">
            <v>8.4341617236220642E-5</v>
          </cell>
          <cell r="H336">
            <v>1.2540883420987677E-4</v>
          </cell>
          <cell r="I336">
            <v>3.8902233105144584E-5</v>
          </cell>
        </row>
        <row r="337">
          <cell r="A337" t="str">
            <v>T_B_c-BEVELC-S4</v>
          </cell>
          <cell r="B337" t="str">
            <v>VAR_ncap</v>
          </cell>
          <cell r="C337" t="str">
            <v>-</v>
          </cell>
          <cell r="E337">
            <v>1.64647312753274E-7</v>
          </cell>
          <cell r="F337">
            <v>1.5900765643991999E-7</v>
          </cell>
          <cell r="G337">
            <v>2.00856235582795E-7</v>
          </cell>
          <cell r="H337">
            <v>3.38327340968621E-7</v>
          </cell>
          <cell r="I337">
            <v>1.3989113725279099E-7</v>
          </cell>
        </row>
        <row r="338">
          <cell r="A338" t="str">
            <v>T_B_c-BEVELC-S4</v>
          </cell>
          <cell r="B338" t="str">
            <v>VAR_cap</v>
          </cell>
          <cell r="C338" t="str">
            <v>-</v>
          </cell>
          <cell r="E338">
            <v>1.64647312753274E-7</v>
          </cell>
          <cell r="F338">
            <v>3.2365496919319402E-7</v>
          </cell>
          <cell r="G338">
            <v>3.2735319348579162E-7</v>
          </cell>
          <cell r="H338">
            <v>5.0104028928262438E-7</v>
          </cell>
          <cell r="I338">
            <v>1.9926374095031301E-7</v>
          </cell>
        </row>
        <row r="339">
          <cell r="A339" t="str">
            <v>T_C-BAT-ELC-S1</v>
          </cell>
          <cell r="B339" t="str">
            <v>VAR_fout</v>
          </cell>
          <cell r="C339" t="str">
            <v>TPCAR</v>
          </cell>
          <cell r="D339">
            <v>1.3945534842152307E-2</v>
          </cell>
          <cell r="E339">
            <v>2.5613081052500385E-2</v>
          </cell>
          <cell r="F339">
            <v>2.0046637136816276E-2</v>
          </cell>
          <cell r="G339">
            <v>1.7297316673946721E-2</v>
          </cell>
          <cell r="H339">
            <v>7.7978454998500604E-2</v>
          </cell>
          <cell r="I339">
            <v>1.6988828682804378</v>
          </cell>
        </row>
        <row r="340">
          <cell r="A340" t="str">
            <v>T_C-BAT-ELC-S1</v>
          </cell>
          <cell r="B340" t="str">
            <v>VAR_fin</v>
          </cell>
          <cell r="C340" t="str">
            <v>T-ELC-car-BatSTGOut_S1</v>
          </cell>
          <cell r="D340">
            <v>7.6976047795015694E-3</v>
          </cell>
          <cell r="E340">
            <v>1.4137813813461428E-2</v>
          </cell>
          <cell r="F340">
            <v>1.1065268674448002E-2</v>
          </cell>
          <cell r="G340">
            <v>9.547708926836344E-3</v>
          </cell>
          <cell r="H340">
            <v>3.9179277217134822E-2</v>
          </cell>
          <cell r="I340">
            <v>0.77357634208857429</v>
          </cell>
        </row>
        <row r="341">
          <cell r="A341" t="str">
            <v>T_C-BAT-ELC-S1</v>
          </cell>
          <cell r="B341" t="str">
            <v>VAR_ncap</v>
          </cell>
          <cell r="C341" t="str">
            <v>-</v>
          </cell>
          <cell r="D341">
            <v>5.9561573342802598E-5</v>
          </cell>
          <cell r="E341">
            <v>5.5171369089442198E-4</v>
          </cell>
          <cell r="F341">
            <v>3.8451898740192903E-4</v>
          </cell>
          <cell r="G341">
            <v>1.3450803065625399E-4</v>
          </cell>
          <cell r="H341">
            <v>1.1952318593714E-2</v>
          </cell>
          <cell r="I341">
            <v>0.29533195550177199</v>
          </cell>
        </row>
        <row r="342">
          <cell r="A342" t="str">
            <v>T_C-BAT-ELC-S1</v>
          </cell>
          <cell r="B342" t="str">
            <v>VAR_cap</v>
          </cell>
          <cell r="C342" t="str">
            <v>-</v>
          </cell>
          <cell r="D342">
            <v>1.531075974137051E-3</v>
          </cell>
          <cell r="E342">
            <v>2.7429971035860625E-3</v>
          </cell>
          <cell r="F342">
            <v>3.0191981745802715E-3</v>
          </cell>
          <cell r="G342">
            <v>2.6189721427054067E-3</v>
          </cell>
          <cell r="H342">
            <v>1.1844364989908375E-2</v>
          </cell>
          <cell r="I342">
            <v>0.25818626111577914</v>
          </cell>
        </row>
        <row r="343">
          <cell r="A343" t="str">
            <v>D-TNGA</v>
          </cell>
          <cell r="B343" t="str">
            <v>VAR_fout</v>
          </cell>
          <cell r="C343" t="str">
            <v>CO2</v>
          </cell>
          <cell r="D343">
            <v>16.079602200885301</v>
          </cell>
          <cell r="E343">
            <v>7.8366588570335702</v>
          </cell>
          <cell r="F343">
            <v>11.7830984532924</v>
          </cell>
          <cell r="G343">
            <v>0.29193030740193399</v>
          </cell>
          <cell r="H343">
            <v>0.26731013473145498</v>
          </cell>
          <cell r="I343">
            <v>0.24131439454405401</v>
          </cell>
        </row>
        <row r="344">
          <cell r="A344" t="str">
            <v>D-TNGA</v>
          </cell>
          <cell r="B344" t="str">
            <v>VAR_fout</v>
          </cell>
          <cell r="C344" t="str">
            <v>TNGA</v>
          </cell>
          <cell r="D344">
            <v>0.30714721330126415</v>
          </cell>
          <cell r="E344">
            <v>0.15525508993767564</v>
          </cell>
          <cell r="F344">
            <v>0.23527720997748036</v>
          </cell>
          <cell r="G344">
            <v>5.4470473080482223E-3</v>
          </cell>
          <cell r="H344">
            <v>4.8539192316935081E-3</v>
          </cell>
          <cell r="I344">
            <v>4.3693264154915906E-3</v>
          </cell>
        </row>
        <row r="345">
          <cell r="A345" t="str">
            <v>D-TNGA</v>
          </cell>
          <cell r="B345" t="str">
            <v>VAR_fin</v>
          </cell>
          <cell r="C345" t="str">
            <v>NGA</v>
          </cell>
          <cell r="D345">
            <v>0.28509932980293096</v>
          </cell>
          <cell r="E345">
            <v>0.13894785207506319</v>
          </cell>
          <cell r="F345">
            <v>0.20892018534206344</v>
          </cell>
          <cell r="G345">
            <v>5.176069280176142E-3</v>
          </cell>
          <cell r="H345">
            <v>4.7395413959477953E-3</v>
          </cell>
          <cell r="I345">
            <v>4.2786240167385385E-3</v>
          </cell>
        </row>
        <row r="346">
          <cell r="A346" t="str">
            <v>D-TNGA</v>
          </cell>
          <cell r="B346" t="str">
            <v>VAR_fin</v>
          </cell>
          <cell r="C346" t="str">
            <v>BNGA</v>
          </cell>
          <cell r="D346">
            <v>2.3027619425929249E-2</v>
          </cell>
          <cell r="E346">
            <v>1.4959526191229127E-2</v>
          </cell>
          <cell r="F346">
            <v>2.2001242087849732E-2</v>
          </cell>
          <cell r="G346">
            <v>2.4135210540145296E-4</v>
          </cell>
          <cell r="H346">
            <v>8.7794054992653396E-5</v>
          </cell>
          <cell r="I346">
            <v>6.7487303593603097E-5</v>
          </cell>
        </row>
        <row r="347">
          <cell r="A347" t="str">
            <v>D-TNGA</v>
          </cell>
          <cell r="B347" t="str">
            <v>VAR_fin</v>
          </cell>
          <cell r="C347" t="str">
            <v>H2</v>
          </cell>
          <cell r="E347">
            <v>1.8428593976361585E-3</v>
          </cell>
          <cell r="F347">
            <v>5.1062680658365261E-3</v>
          </cell>
          <cell r="G347">
            <v>4.6648522638849981E-5</v>
          </cell>
          <cell r="H347">
            <v>4.1716122771395587E-5</v>
          </cell>
          <cell r="I347">
            <v>3.6956246206396765E-5</v>
          </cell>
        </row>
        <row r="348">
          <cell r="A348" t="str">
            <v>D-TNGA</v>
          </cell>
          <cell r="B348" t="str">
            <v>VAR_ncap</v>
          </cell>
          <cell r="C348" t="str">
            <v>-</v>
          </cell>
          <cell r="D348">
            <v>3.17137223978272E-7</v>
          </cell>
          <cell r="E348">
            <v>8.4871737051249404E-8</v>
          </cell>
          <cell r="F348">
            <v>9.8844255002465296E-8</v>
          </cell>
          <cell r="G348">
            <v>1.1579994201379699E-7</v>
          </cell>
          <cell r="H348">
            <v>2.2951469704769001E-7</v>
          </cell>
          <cell r="I348">
            <v>3.8008154943136699E-7</v>
          </cell>
        </row>
        <row r="349">
          <cell r="A349" t="str">
            <v>D-TNGA</v>
          </cell>
          <cell r="B349" t="str">
            <v>VAR_cap</v>
          </cell>
          <cell r="C349" t="str">
            <v>-</v>
          </cell>
          <cell r="D349">
            <v>0.95961801021886795</v>
          </cell>
          <cell r="E349">
            <v>0.95961809509060503</v>
          </cell>
          <cell r="F349">
            <v>0.95961819393486003</v>
          </cell>
          <cell r="G349">
            <v>0.95961830973480211</v>
          </cell>
          <cell r="H349">
            <v>0.95961871489095085</v>
          </cell>
          <cell r="I349">
            <v>0.4812547513264443</v>
          </cell>
        </row>
        <row r="350">
          <cell r="A350" t="str">
            <v>T_C-BAT-ELC-S2</v>
          </cell>
          <cell r="B350" t="str">
            <v>VAR_fout</v>
          </cell>
          <cell r="C350" t="str">
            <v>TPCAR</v>
          </cell>
          <cell r="D350">
            <v>9.6852614582681559E-2</v>
          </cell>
          <cell r="E350">
            <v>0.15112255337758851</v>
          </cell>
          <cell r="F350">
            <v>1.508820951502774</v>
          </cell>
          <cell r="G350">
            <v>8.6956858370292416</v>
          </cell>
          <cell r="H350">
            <v>17.415437948893583</v>
          </cell>
          <cell r="I350">
            <v>15.527823432965612</v>
          </cell>
        </row>
        <row r="351">
          <cell r="A351" t="str">
            <v>T_C-BAT-ELC-S2</v>
          </cell>
          <cell r="B351" t="str">
            <v>VAR_fin</v>
          </cell>
          <cell r="C351" t="str">
            <v>T-ELC-car-BatSTGOut_S2</v>
          </cell>
          <cell r="D351">
            <v>6.616527479115801E-2</v>
          </cell>
          <cell r="E351">
            <v>0.10324001385459303</v>
          </cell>
          <cell r="F351">
            <v>1.0307574379586111</v>
          </cell>
          <cell r="G351">
            <v>5.9404946927215052</v>
          </cell>
          <cell r="H351">
            <v>11.144096646535768</v>
          </cell>
          <cell r="I351">
            <v>9.0872150739022572</v>
          </cell>
        </row>
        <row r="352">
          <cell r="A352" t="str">
            <v>T_C-BAT-ELC-S2</v>
          </cell>
          <cell r="B352" t="str">
            <v>VAR_ncap</v>
          </cell>
          <cell r="C352" t="str">
            <v>-</v>
          </cell>
          <cell r="D352">
            <v>7.2110484781625906E-5</v>
          </cell>
          <cell r="E352">
            <v>2.0680818002912299E-4</v>
          </cell>
          <cell r="F352">
            <v>0.104862032326967</v>
          </cell>
          <cell r="G352">
            <v>0.59044320402523998</v>
          </cell>
          <cell r="H352">
            <v>0.80606222674304895</v>
          </cell>
          <cell r="I352">
            <v>1.15899406879363</v>
          </cell>
        </row>
        <row r="353">
          <cell r="A353" t="str">
            <v>T_C-BAT-ELC-S2</v>
          </cell>
          <cell r="B353" t="str">
            <v>VAR_cap</v>
          </cell>
          <cell r="C353" t="str">
            <v>-</v>
          </cell>
          <cell r="D353">
            <v>7.3588082067931665E-3</v>
          </cell>
          <cell r="E353">
            <v>1.1466106101914146E-2</v>
          </cell>
          <cell r="F353">
            <v>0.1144819118871389</v>
          </cell>
          <cell r="G353">
            <v>0.65976991310042998</v>
          </cell>
          <cell r="H353">
            <v>1.8307616615241875</v>
          </cell>
          <cell r="I353">
            <v>1.6378068145965281</v>
          </cell>
        </row>
        <row r="354">
          <cell r="A354" t="str">
            <v>TFLGV-BeVELCExt</v>
          </cell>
          <cell r="B354" t="str">
            <v>VAR_fout</v>
          </cell>
          <cell r="C354" t="str">
            <v>TFLGV</v>
          </cell>
          <cell r="D354">
            <v>2.7900506639303903E-2</v>
          </cell>
          <cell r="E354">
            <v>2.4191899772286689E-2</v>
          </cell>
          <cell r="F354">
            <v>1.8617310352219349E-2</v>
          </cell>
          <cell r="G354">
            <v>9.2956364016414557E-3</v>
          </cell>
        </row>
        <row r="355">
          <cell r="A355" t="str">
            <v>TFLGV-BeVELCExt</v>
          </cell>
          <cell r="B355" t="str">
            <v>VAR_fin</v>
          </cell>
          <cell r="C355" t="str">
            <v>TELC</v>
          </cell>
          <cell r="D355">
            <v>4.0481110721538226E-2</v>
          </cell>
          <cell r="E355">
            <v>3.4776142999714696E-2</v>
          </cell>
          <cell r="F355">
            <v>2.6396981177994688E-2</v>
          </cell>
          <cell r="G355">
            <v>1.318003162053754E-2</v>
          </cell>
        </row>
        <row r="356">
          <cell r="A356" t="str">
            <v>TFLGV-BeVELCExt</v>
          </cell>
          <cell r="B356" t="str">
            <v>VAR_cap</v>
          </cell>
          <cell r="C356" t="str">
            <v>-</v>
          </cell>
          <cell r="D356">
            <v>1.9499999999999999E-3</v>
          </cell>
          <cell r="E356">
            <v>1.6900000000000001E-3</v>
          </cell>
          <cell r="F356">
            <v>1.2999999999999999E-3</v>
          </cell>
          <cell r="G356">
            <v>6.4999999999999997E-4</v>
          </cell>
        </row>
        <row r="357">
          <cell r="A357" t="str">
            <v>T_C-BAT-ELC-S3</v>
          </cell>
          <cell r="B357" t="str">
            <v>VAR_fout</v>
          </cell>
          <cell r="C357" t="str">
            <v>TPCAR</v>
          </cell>
          <cell r="D357">
            <v>6.1407759310466235E-2</v>
          </cell>
          <cell r="E357">
            <v>0.12922851790022888</v>
          </cell>
          <cell r="F357">
            <v>0.18383283302494582</v>
          </cell>
          <cell r="G357">
            <v>2.8450360226360027</v>
          </cell>
          <cell r="H357">
            <v>6.1886911430926874</v>
          </cell>
          <cell r="I357">
            <v>5.2227127418740897</v>
          </cell>
        </row>
        <row r="358">
          <cell r="A358" t="str">
            <v>T_C-BAT-ELC-S3</v>
          </cell>
          <cell r="B358" t="str">
            <v>VAR_fin</v>
          </cell>
          <cell r="C358" t="str">
            <v>T-ELC-car-BatSTGOut_S3</v>
          </cell>
          <cell r="D358">
            <v>4.5913966270184237E-2</v>
          </cell>
          <cell r="E358">
            <v>9.6622867836926973E-2</v>
          </cell>
          <cell r="F358">
            <v>0.13744996706663981</v>
          </cell>
          <cell r="G358">
            <v>2.127204924060865</v>
          </cell>
          <cell r="H358">
            <v>4.3801398079206262</v>
          </cell>
          <cell r="I358">
            <v>3.335099126603386</v>
          </cell>
        </row>
        <row r="359">
          <cell r="A359" t="str">
            <v>T_C-BAT-ELC-S3</v>
          </cell>
          <cell r="B359" t="str">
            <v>VAR_ncap</v>
          </cell>
          <cell r="C359" t="str">
            <v>-</v>
          </cell>
          <cell r="D359">
            <v>5.6122816121929398E-5</v>
          </cell>
          <cell r="E359">
            <v>2.7434303285213701E-3</v>
          </cell>
          <cell r="F359">
            <v>4.1704016293081098E-3</v>
          </cell>
          <cell r="G359">
            <v>0.19520925028693001</v>
          </cell>
          <cell r="H359">
            <v>0.110639553785661</v>
          </cell>
          <cell r="I359">
            <v>0.27134419584519198</v>
          </cell>
        </row>
        <row r="360">
          <cell r="A360" t="str">
            <v>T_C-BAT-ELC-S3</v>
          </cell>
          <cell r="B360" t="str">
            <v>VAR_cap</v>
          </cell>
          <cell r="C360" t="str">
            <v>-</v>
          </cell>
          <cell r="D360">
            <v>4.2768286902776015E-3</v>
          </cell>
          <cell r="E360">
            <v>8.890022640581096E-3</v>
          </cell>
          <cell r="F360">
            <v>1.2656676985685985E-2</v>
          </cell>
          <cell r="G360">
            <v>0.19562696973429344</v>
          </cell>
          <cell r="H360">
            <v>0.425531948033256</v>
          </cell>
          <cell r="I360">
            <v>0.35911309173870387</v>
          </cell>
        </row>
        <row r="361">
          <cell r="A361" t="str">
            <v>T_C-BAT-ELC-S4</v>
          </cell>
          <cell r="B361" t="str">
            <v>VAR_fout</v>
          </cell>
          <cell r="C361" t="str">
            <v>TPCAR</v>
          </cell>
          <cell r="D361">
            <v>0.19376216938018143</v>
          </cell>
          <cell r="E361">
            <v>1.3646424076980346</v>
          </cell>
          <cell r="F361">
            <v>3.3392124340152463</v>
          </cell>
          <cell r="G361">
            <v>4.6027789119777465</v>
          </cell>
          <cell r="H361">
            <v>6.2835337820215909</v>
          </cell>
          <cell r="I361">
            <v>9.9846854747647882</v>
          </cell>
        </row>
        <row r="362">
          <cell r="A362" t="str">
            <v>T_C-BAT-ELC-S4</v>
          </cell>
          <cell r="B362" t="str">
            <v>VAR_fin</v>
          </cell>
          <cell r="C362" t="str">
            <v>T-ELC-car-BatSTGOut_S4</v>
          </cell>
          <cell r="D362">
            <v>0.14962642527694145</v>
          </cell>
          <cell r="E362">
            <v>1.0537999543375292</v>
          </cell>
          <cell r="F362">
            <v>2.5785963345697387</v>
          </cell>
          <cell r="G362">
            <v>3.5543437459560288</v>
          </cell>
          <cell r="H362">
            <v>4.6155405794814826</v>
          </cell>
          <cell r="I362">
            <v>6.5081310269326247</v>
          </cell>
        </row>
        <row r="363">
          <cell r="A363" t="str">
            <v>T_C-BAT-ELC-S4</v>
          </cell>
          <cell r="B363" t="str">
            <v>VAR_ncap</v>
          </cell>
          <cell r="C363" t="str">
            <v>-</v>
          </cell>
          <cell r="D363">
            <v>1.4654483673344999E-4</v>
          </cell>
          <cell r="E363">
            <v>8.04522108135797E-2</v>
          </cell>
          <cell r="F363">
            <v>0.16337763971371899</v>
          </cell>
          <cell r="G363">
            <v>0.14600647960017599</v>
          </cell>
          <cell r="H363">
            <v>9.6378933247974294E-2</v>
          </cell>
          <cell r="I363">
            <v>0.77010329974346803</v>
          </cell>
        </row>
        <row r="364">
          <cell r="A364" t="str">
            <v>T_C-BAT-ELC-S4</v>
          </cell>
          <cell r="B364" t="str">
            <v>VAR_cap</v>
          </cell>
          <cell r="C364" t="str">
            <v>-</v>
          </cell>
          <cell r="D364">
            <v>1.534902304883087E-2</v>
          </cell>
          <cell r="E364">
            <v>0.10745886793618631</v>
          </cell>
          <cell r="F364">
            <v>0.26296369256899826</v>
          </cell>
          <cell r="G364">
            <v>0.3624469575860047</v>
          </cell>
          <cell r="H364">
            <v>0.49681792921104201</v>
          </cell>
          <cell r="I364">
            <v>0.80410568500242141</v>
          </cell>
        </row>
        <row r="365">
          <cell r="A365" t="str">
            <v>T_B_c-ICENGA-S1</v>
          </cell>
          <cell r="B365" t="str">
            <v>VAR_fout</v>
          </cell>
          <cell r="C365" t="str">
            <v>CO2_T</v>
          </cell>
          <cell r="E365">
            <v>7.1549478677188603E-3</v>
          </cell>
          <cell r="F365">
            <v>4.2008061313821184E-2</v>
          </cell>
        </row>
        <row r="366">
          <cell r="A366" t="str">
            <v>T_B_c-ICENGA-S1</v>
          </cell>
          <cell r="B366" t="str">
            <v>VAR_fout</v>
          </cell>
          <cell r="C366" t="str">
            <v>TPBSc</v>
          </cell>
          <cell r="E366">
            <v>1.525342527560525E-5</v>
          </cell>
          <cell r="F366">
            <v>9.3417711497848651E-5</v>
          </cell>
        </row>
        <row r="367">
          <cell r="A367" t="str">
            <v>T_B_c-ICENGA-S1</v>
          </cell>
          <cell r="B367" t="str">
            <v>VAR_fin</v>
          </cell>
          <cell r="C367" t="str">
            <v>TNGA</v>
          </cell>
          <cell r="E367">
            <v>1.2686077779643383E-4</v>
          </cell>
          <cell r="F367">
            <v>7.4482378215994882E-4</v>
          </cell>
        </row>
        <row r="368">
          <cell r="A368" t="str">
            <v>T_B_c-ICENGA-S1</v>
          </cell>
          <cell r="B368" t="str">
            <v>VAR_ncap</v>
          </cell>
          <cell r="C368" t="str">
            <v>-</v>
          </cell>
          <cell r="E368">
            <v>4.3111511576125898E-7</v>
          </cell>
          <cell r="F368">
            <v>1.67800269550907E-6</v>
          </cell>
        </row>
        <row r="369">
          <cell r="A369" t="str">
            <v>T_B_c-ICENGA-S1</v>
          </cell>
          <cell r="B369" t="str">
            <v>VAR_cap</v>
          </cell>
          <cell r="C369" t="str">
            <v>-</v>
          </cell>
          <cell r="E369">
            <v>4.3111511576125898E-7</v>
          </cell>
          <cell r="F369">
            <v>2.1091178112703299E-6</v>
          </cell>
          <cell r="G369">
            <v>-1.1793933320498157E-9</v>
          </cell>
        </row>
        <row r="370">
          <cell r="A370" t="str">
            <v>TFLGV-FCLH2O</v>
          </cell>
          <cell r="B370" t="str">
            <v>VAR_fout</v>
          </cell>
          <cell r="C370" t="str">
            <v>TFLGV</v>
          </cell>
          <cell r="E370">
            <v>2.6856755122961124E-5</v>
          </cell>
          <cell r="F370">
            <v>3.5606069845210139E-5</v>
          </cell>
          <cell r="G370">
            <v>1.8387492229711095E-5</v>
          </cell>
          <cell r="H370">
            <v>1.6451100854173522E-5</v>
          </cell>
          <cell r="I370">
            <v>1.6348768961254738E-5</v>
          </cell>
        </row>
        <row r="371">
          <cell r="A371" t="str">
            <v>TFLGV-FCLH2O</v>
          </cell>
          <cell r="B371" t="str">
            <v>VAR_fin</v>
          </cell>
          <cell r="C371" t="str">
            <v>TH2O</v>
          </cell>
          <cell r="E371">
            <v>5.7743618497777333E-5</v>
          </cell>
          <cell r="F371">
            <v>7.5503555065845052E-5</v>
          </cell>
          <cell r="G371">
            <v>3.7255405039787803E-5</v>
          </cell>
          <cell r="H371">
            <v>2.9189875771343531E-5</v>
          </cell>
          <cell r="I371">
            <v>2.7577966038396735E-5</v>
          </cell>
        </row>
        <row r="372">
          <cell r="A372" t="str">
            <v>TFLGV-FCLH2O</v>
          </cell>
          <cell r="B372" t="str">
            <v>VAR_ncap</v>
          </cell>
          <cell r="C372" t="str">
            <v>-</v>
          </cell>
          <cell r="E372">
            <v>1.9787855325633701E-6</v>
          </cell>
          <cell r="F372">
            <v>7.4770304904801004E-7</v>
          </cell>
          <cell r="G372">
            <v>3.9326365586103598E-7</v>
          </cell>
          <cell r="H372">
            <v>6.4263128968774702E-7</v>
          </cell>
          <cell r="I372">
            <v>8.2724287199074604E-7</v>
          </cell>
        </row>
        <row r="373">
          <cell r="A373" t="str">
            <v>TFLGV-FCLH2O</v>
          </cell>
          <cell r="B373" t="str">
            <v>VAR_cap</v>
          </cell>
          <cell r="C373" t="str">
            <v>-</v>
          </cell>
          <cell r="E373">
            <v>1.9787855325633701E-6</v>
          </cell>
          <cell r="F373">
            <v>2.72648858161138E-6</v>
          </cell>
          <cell r="G373">
            <v>1.3170122911441697E-6</v>
          </cell>
          <cell r="H373">
            <v>1.2321342828703309E-6</v>
          </cell>
          <cell r="I373">
            <v>1.25115209082973E-6</v>
          </cell>
        </row>
        <row r="374">
          <cell r="A374" t="str">
            <v>T_B_c-ICENGA-S2</v>
          </cell>
          <cell r="B374" t="str">
            <v>VAR_fout</v>
          </cell>
          <cell r="C374" t="str">
            <v>CO2_T</v>
          </cell>
          <cell r="E374">
            <v>4.3620873141981299E-3</v>
          </cell>
          <cell r="F374">
            <v>2.4812680941283798E-2</v>
          </cell>
        </row>
        <row r="375">
          <cell r="A375" t="str">
            <v>T_B_c-ICENGA-S2</v>
          </cell>
          <cell r="B375" t="str">
            <v>VAR_fout</v>
          </cell>
          <cell r="C375" t="str">
            <v>TPBSc</v>
          </cell>
          <cell r="E375">
            <v>6.5739189728700541E-6</v>
          </cell>
          <cell r="F375">
            <v>3.8918245453508507E-5</v>
          </cell>
        </row>
        <row r="376">
          <cell r="A376" t="str">
            <v>T_B_c-ICENGA-S2</v>
          </cell>
          <cell r="B376" t="str">
            <v>VAR_fin</v>
          </cell>
          <cell r="C376" t="str">
            <v>TNGA</v>
          </cell>
          <cell r="E376">
            <v>7.7341973655995378E-5</v>
          </cell>
          <cell r="F376">
            <v>4.399411514412016E-4</v>
          </cell>
        </row>
        <row r="377">
          <cell r="A377" t="str">
            <v>T_B_c-ICENGA-S2</v>
          </cell>
          <cell r="B377" t="str">
            <v>VAR_ncap</v>
          </cell>
          <cell r="C377" t="str">
            <v>-</v>
          </cell>
          <cell r="E377">
            <v>1.70311883953286E-7</v>
          </cell>
          <cell r="F377">
            <v>6.7571189344717198E-7</v>
          </cell>
        </row>
        <row r="378">
          <cell r="A378" t="str">
            <v>T_B_c-ICENGA-S2</v>
          </cell>
          <cell r="B378" t="str">
            <v>VAR_cap</v>
          </cell>
          <cell r="C378" t="str">
            <v>-</v>
          </cell>
          <cell r="E378">
            <v>1.70311883953286E-7</v>
          </cell>
          <cell r="F378">
            <v>8.4602377740045896E-7</v>
          </cell>
          <cell r="G378">
            <v>-2.2119747140349889E-9</v>
          </cell>
        </row>
        <row r="379">
          <cell r="A379" t="str">
            <v>T_B_u-ICEDSL-S1</v>
          </cell>
          <cell r="B379" t="str">
            <v>VAR_fout</v>
          </cell>
          <cell r="C379" t="str">
            <v>CO2_T</v>
          </cell>
          <cell r="D379">
            <v>2.1213475511170959E-2</v>
          </cell>
          <cell r="E379">
            <v>19.264028094238114</v>
          </cell>
          <cell r="F379">
            <v>34.151292528109757</v>
          </cell>
          <cell r="G379">
            <v>3.1538606307000899E-3</v>
          </cell>
        </row>
        <row r="380">
          <cell r="A380" t="str">
            <v>T_B_u-ICEDSL-S1</v>
          </cell>
          <cell r="B380" t="str">
            <v>VAR_fout</v>
          </cell>
          <cell r="C380" t="str">
            <v>TPBSu</v>
          </cell>
          <cell r="D380">
            <v>3.5862977146363142E-5</v>
          </cell>
          <cell r="E380">
            <v>3.3773962416966861E-2</v>
          </cell>
          <cell r="F380">
            <v>6.1275486367579658E-2</v>
          </cell>
          <cell r="G380">
            <v>5.3318387956773228E-6</v>
          </cell>
        </row>
        <row r="381">
          <cell r="A381" t="str">
            <v>T_B_u-ICEDSL-S1</v>
          </cell>
          <cell r="B381" t="str">
            <v>VAR_fin</v>
          </cell>
          <cell r="C381" t="str">
            <v>TDSL</v>
          </cell>
          <cell r="D381">
            <v>2.8940621434066791E-4</v>
          </cell>
          <cell r="E381">
            <v>0.26281075162671308</v>
          </cell>
          <cell r="F381">
            <v>0.46591122139303809</v>
          </cell>
          <cell r="G381">
            <v>4.3026748031379159E-5</v>
          </cell>
        </row>
        <row r="382">
          <cell r="A382" t="str">
            <v>T_B_u-ICEDSL-S1</v>
          </cell>
          <cell r="B382" t="str">
            <v>VAR_ncap</v>
          </cell>
          <cell r="C382" t="str">
            <v>-</v>
          </cell>
          <cell r="E382">
            <v>6.36475189752599E-4</v>
          </cell>
          <cell r="F382">
            <v>5.1861753148524598E-4</v>
          </cell>
        </row>
        <row r="383">
          <cell r="A383" t="str">
            <v>T_B_u-ICEDSL-S1</v>
          </cell>
          <cell r="B383" t="str">
            <v>VAR_cap</v>
          </cell>
          <cell r="C383" t="str">
            <v>-</v>
          </cell>
          <cell r="D383">
            <v>7.0464135021097004E-7</v>
          </cell>
          <cell r="E383">
            <v>6.3730711661617141E-4</v>
          </cell>
          <cell r="F383">
            <v>1.1559246481014124E-3</v>
          </cell>
          <cell r="G383">
            <v>8.4224481666349965E-8</v>
          </cell>
          <cell r="H383">
            <v>1.04852048208364E-8</v>
          </cell>
          <cell r="I383">
            <v>1.84003429558064E-9</v>
          </cell>
        </row>
        <row r="384">
          <cell r="A384" t="str">
            <v>T_B_c-ICENGA-S3</v>
          </cell>
          <cell r="B384" t="str">
            <v>VAR_fout</v>
          </cell>
          <cell r="C384" t="str">
            <v>CO2_T</v>
          </cell>
          <cell r="E384">
            <v>3.2617821453150898E-3</v>
          </cell>
          <cell r="F384">
            <v>1.5541198262640801E-2</v>
          </cell>
        </row>
        <row r="385">
          <cell r="A385" t="str">
            <v>T_B_c-ICENGA-S3</v>
          </cell>
          <cell r="B385" t="str">
            <v>VAR_fout</v>
          </cell>
          <cell r="C385" t="str">
            <v>TPBSc</v>
          </cell>
          <cell r="E385">
            <v>3.2630621901497902E-6</v>
          </cell>
          <cell r="F385">
            <v>1.613457859514832E-5</v>
          </cell>
        </row>
        <row r="386">
          <cell r="A386" t="str">
            <v>T_B_c-ICENGA-S3</v>
          </cell>
          <cell r="B386" t="str">
            <v>VAR_fin</v>
          </cell>
          <cell r="C386" t="str">
            <v>TNGA</v>
          </cell>
          <cell r="E386">
            <v>5.7833016760905808E-5</v>
          </cell>
          <cell r="F386">
            <v>2.7555316068512048E-4</v>
          </cell>
        </row>
        <row r="387">
          <cell r="A387" t="str">
            <v>T_B_c-ICENGA-S3</v>
          </cell>
          <cell r="B387" t="str">
            <v>VAR_ncap</v>
          </cell>
          <cell r="C387" t="str">
            <v>-</v>
          </cell>
          <cell r="E387">
            <v>9.9313399115962399E-8</v>
          </cell>
          <cell r="F387">
            <v>2.6816832955570298E-7</v>
          </cell>
          <cell r="H387">
            <v>1.1386586735944001E-8</v>
          </cell>
        </row>
        <row r="388">
          <cell r="A388" t="str">
            <v>T_B_c-ICENGA-S3</v>
          </cell>
          <cell r="B388" t="str">
            <v>VAR_cap</v>
          </cell>
          <cell r="C388" t="str">
            <v>-</v>
          </cell>
          <cell r="E388">
            <v>9.9313399115962399E-8</v>
          </cell>
          <cell r="F388">
            <v>3.6748172867166502E-7</v>
          </cell>
          <cell r="G388">
            <v>8.2460415376159638E-9</v>
          </cell>
          <cell r="H388">
            <v>1.1386586735944001E-8</v>
          </cell>
          <cell r="I388">
            <v>3.9001478849581203E-9</v>
          </cell>
        </row>
        <row r="389">
          <cell r="A389" t="str">
            <v>T_B_u-ICEDSL-S2</v>
          </cell>
          <cell r="B389" t="str">
            <v>VAR_fout</v>
          </cell>
          <cell r="C389" t="str">
            <v>CO2_T</v>
          </cell>
          <cell r="D389">
            <v>8.0191312361285494</v>
          </cell>
          <cell r="E389">
            <v>10.039286056130576</v>
          </cell>
          <cell r="F389">
            <v>16.433922916445752</v>
          </cell>
        </row>
        <row r="390">
          <cell r="A390" t="str">
            <v>T_B_u-ICEDSL-S2</v>
          </cell>
          <cell r="B390" t="str">
            <v>VAR_fout</v>
          </cell>
          <cell r="C390" t="str">
            <v>TPBSu</v>
          </cell>
          <cell r="D390">
            <v>9.5688964593216765E-3</v>
          </cell>
          <cell r="E390">
            <v>1.2028376728362607E-2</v>
          </cell>
          <cell r="F390">
            <v>2.0326366141913101E-2</v>
          </cell>
        </row>
        <row r="391">
          <cell r="A391" t="str">
            <v>T_B_u-ICEDSL-S2</v>
          </cell>
          <cell r="B391" t="str">
            <v>VAR_fin</v>
          </cell>
          <cell r="C391" t="str">
            <v>TDSL</v>
          </cell>
          <cell r="D391">
            <v>0.10940151754609219</v>
          </cell>
          <cell r="E391">
            <v>0.13696161058841166</v>
          </cell>
          <cell r="F391">
            <v>0.22420085834168851</v>
          </cell>
        </row>
        <row r="392">
          <cell r="A392" t="str">
            <v>T_B_u-ICEDSL-S2</v>
          </cell>
          <cell r="B392" t="str">
            <v>VAR_ncap</v>
          </cell>
          <cell r="C392" t="str">
            <v>-</v>
          </cell>
          <cell r="E392">
            <v>1.02834299623839E-5</v>
          </cell>
          <cell r="F392">
            <v>1.55212860023027E-4</v>
          </cell>
        </row>
        <row r="393">
          <cell r="A393" t="str">
            <v>T_B_u-ICEDSL-S2</v>
          </cell>
          <cell r="B393" t="str">
            <v>VAR_cap</v>
          </cell>
          <cell r="C393" t="str">
            <v>-</v>
          </cell>
          <cell r="D393">
            <v>1.8426164374512943E-4</v>
          </cell>
          <cell r="E393">
            <v>2.2800885963566729E-4</v>
          </cell>
          <cell r="F393">
            <v>3.8343878947324909E-4</v>
          </cell>
          <cell r="G393">
            <v>-1.1676508923001792E-8</v>
          </cell>
        </row>
        <row r="394">
          <cell r="A394" t="str">
            <v>T_B_c-ICENGA-S4</v>
          </cell>
          <cell r="B394" t="str">
            <v>VAR_fout</v>
          </cell>
          <cell r="C394" t="str">
            <v>CO2_T</v>
          </cell>
          <cell r="F394">
            <v>9.9182027403080394E-4</v>
          </cell>
        </row>
        <row r="395">
          <cell r="A395" t="str">
            <v>T_B_c-ICENGA-S4</v>
          </cell>
          <cell r="B395" t="str">
            <v>VAR_fout</v>
          </cell>
          <cell r="C395" t="str">
            <v>TPBSc</v>
          </cell>
          <cell r="F395">
            <v>6.9311328614062663E-7</v>
          </cell>
        </row>
        <row r="396">
          <cell r="A396" t="str">
            <v>T_B_c-ICENGA-S4</v>
          </cell>
          <cell r="B396" t="str">
            <v>VAR_fin</v>
          </cell>
          <cell r="C396" t="str">
            <v>TNGA</v>
          </cell>
          <cell r="F396">
            <v>1.7585465851609995E-5</v>
          </cell>
        </row>
        <row r="397">
          <cell r="A397" t="str">
            <v>T_B_c-ICENGA-S4</v>
          </cell>
          <cell r="B397" t="str">
            <v>VAR_ncap</v>
          </cell>
          <cell r="C397" t="str">
            <v>-</v>
          </cell>
          <cell r="E397">
            <v>1.13622344387278E-8</v>
          </cell>
          <cell r="F397">
            <v>2.06843081723415E-8</v>
          </cell>
        </row>
        <row r="398">
          <cell r="A398" t="str">
            <v>T_B_c-ICENGA-S4</v>
          </cell>
          <cell r="B398" t="str">
            <v>VAR_cap</v>
          </cell>
          <cell r="C398" t="str">
            <v>-</v>
          </cell>
          <cell r="E398">
            <v>1.13622344387278E-8</v>
          </cell>
          <cell r="F398">
            <v>3.2046542611069197E-8</v>
          </cell>
          <cell r="G398">
            <v>-9.6722394966010064E-10</v>
          </cell>
        </row>
        <row r="399">
          <cell r="A399" t="str">
            <v>T_B_u-ICEDSL-S3</v>
          </cell>
          <cell r="B399" t="str">
            <v>VAR_fout</v>
          </cell>
          <cell r="C399" t="str">
            <v>CO2_T</v>
          </cell>
          <cell r="D399">
            <v>45.71157401648783</v>
          </cell>
          <cell r="E399">
            <v>63.840784462303382</v>
          </cell>
          <cell r="F399">
            <v>63.887534194621438</v>
          </cell>
        </row>
        <row r="400">
          <cell r="A400" t="str">
            <v>T_B_u-ICEDSL-S3</v>
          </cell>
          <cell r="B400" t="str">
            <v>VAR_fout</v>
          </cell>
          <cell r="C400" t="str">
            <v>TPBSu</v>
          </cell>
          <cell r="D400">
            <v>3.6138664908289889E-2</v>
          </cell>
          <cell r="E400">
            <v>5.0609233408714101E-2</v>
          </cell>
          <cell r="F400">
            <v>5.0647700021005819E-2</v>
          </cell>
        </row>
        <row r="401">
          <cell r="A401" t="str">
            <v>T_B_u-ICEDSL-S3</v>
          </cell>
          <cell r="B401" t="str">
            <v>VAR_fin</v>
          </cell>
          <cell r="C401" t="str">
            <v>TDSL</v>
          </cell>
          <cell r="D401">
            <v>0.62362311072971011</v>
          </cell>
          <cell r="E401">
            <v>0.87095203904916074</v>
          </cell>
          <cell r="F401">
            <v>0.8715898253017923</v>
          </cell>
        </row>
        <row r="402">
          <cell r="A402" t="str">
            <v>T_B_u-ICEDSL-S3</v>
          </cell>
          <cell r="B402" t="str">
            <v>VAR_ncap</v>
          </cell>
          <cell r="C402" t="str">
            <v>-</v>
          </cell>
          <cell r="E402">
            <v>2.2424584384275902E-6</v>
          </cell>
          <cell r="F402">
            <v>3.31670242423392E-7</v>
          </cell>
        </row>
        <row r="403">
          <cell r="A403" t="str">
            <v>T_B_u-ICEDSL-S3</v>
          </cell>
          <cell r="B403" t="str">
            <v>VAR_cap</v>
          </cell>
          <cell r="C403" t="str">
            <v>-</v>
          </cell>
          <cell r="D403">
            <v>8.0647215764766871E-4</v>
          </cell>
          <cell r="E403">
            <v>9.547195049092556E-4</v>
          </cell>
          <cell r="F403">
            <v>9.5513038747128704E-4</v>
          </cell>
          <cell r="G403">
            <v>-1.2226534685405056E-8</v>
          </cell>
        </row>
        <row r="404">
          <cell r="A404" t="str">
            <v>T_B_u-ICEDSL-S4</v>
          </cell>
          <cell r="B404" t="str">
            <v>VAR_fout</v>
          </cell>
          <cell r="C404" t="str">
            <v>CO2_T</v>
          </cell>
          <cell r="D404">
            <v>0.26739891661093718</v>
          </cell>
          <cell r="E404">
            <v>5.9617624412222885E-3</v>
          </cell>
          <cell r="F404">
            <v>1.8932584309044376E-2</v>
          </cell>
        </row>
        <row r="405">
          <cell r="A405" t="str">
            <v>T_B_u-ICEDSL-S4</v>
          </cell>
          <cell r="B405" t="str">
            <v>VAR_fout</v>
          </cell>
          <cell r="C405" t="str">
            <v>TPBSu</v>
          </cell>
          <cell r="D405">
            <v>1.4098263647969851E-4</v>
          </cell>
          <cell r="E405">
            <v>3.1612953142669821E-6</v>
          </cell>
          <cell r="F405">
            <v>1.0082209293719277E-5</v>
          </cell>
        </row>
        <row r="406">
          <cell r="A406" t="str">
            <v>T_B_u-ICEDSL-S4</v>
          </cell>
          <cell r="B406" t="str">
            <v>VAR_fin</v>
          </cell>
          <cell r="C406" t="str">
            <v>TDSL</v>
          </cell>
          <cell r="D406">
            <v>3.6480070478981815E-3</v>
          </cell>
          <cell r="E406">
            <v>8.1333730439594635E-5</v>
          </cell>
          <cell r="F406">
            <v>2.5828900830892742E-4</v>
          </cell>
        </row>
        <row r="407">
          <cell r="A407" t="str">
            <v>T_B_u-ICEDSL-S4</v>
          </cell>
          <cell r="B407" t="str">
            <v>VAR_ncap</v>
          </cell>
          <cell r="C407" t="str">
            <v>-</v>
          </cell>
          <cell r="E407">
            <v>2.01458239951535E-8</v>
          </cell>
          <cell r="F407">
            <v>2.17306261461712E-8</v>
          </cell>
        </row>
        <row r="408">
          <cell r="A408" t="str">
            <v>T_B_u-ICEDSL-S4</v>
          </cell>
          <cell r="B408" t="str">
            <v>VAR_cap</v>
          </cell>
          <cell r="C408" t="str">
            <v>-</v>
          </cell>
          <cell r="D408">
            <v>3.1069182127314191E-6</v>
          </cell>
          <cell r="E408">
            <v>1.7116990744265386E-7</v>
          </cell>
          <cell r="F408">
            <v>2.6883862975449388E-7</v>
          </cell>
          <cell r="G408">
            <v>-1.2052988499730161E-8</v>
          </cell>
        </row>
        <row r="409">
          <cell r="A409" t="str">
            <v>D-TBDS1intl</v>
          </cell>
          <cell r="B409" t="str">
            <v>VAR_fout</v>
          </cell>
          <cell r="C409" t="str">
            <v>TKERintl_SAF</v>
          </cell>
          <cell r="G409">
            <v>5.0409130398989399</v>
          </cell>
          <cell r="H409">
            <v>5.2173256899809699</v>
          </cell>
          <cell r="I409">
            <v>5.2173259677912398</v>
          </cell>
        </row>
        <row r="410">
          <cell r="A410" t="str">
            <v>D-TBDS1intl</v>
          </cell>
          <cell r="B410" t="str">
            <v>VAR_fin</v>
          </cell>
          <cell r="C410" t="str">
            <v>BDS1</v>
          </cell>
          <cell r="G410">
            <v>5.0409130398989399</v>
          </cell>
          <cell r="H410">
            <v>5.2173256899809699</v>
          </cell>
          <cell r="I410">
            <v>5.2173259677912398</v>
          </cell>
        </row>
        <row r="411">
          <cell r="A411" t="str">
            <v>T_B_c-ICENGAEXT</v>
          </cell>
          <cell r="B411" t="str">
            <v>VAR_fout</v>
          </cell>
          <cell r="C411" t="str">
            <v>CO2_T</v>
          </cell>
          <cell r="D411">
            <v>7.7987683155834103E-3</v>
          </cell>
          <cell r="E411">
            <v>7.8374272820719501E-3</v>
          </cell>
          <cell r="F411">
            <v>7.7496251133979902E-3</v>
          </cell>
        </row>
        <row r="412">
          <cell r="A412" t="str">
            <v>T_B_c-ICENGAEXT</v>
          </cell>
          <cell r="B412" t="str">
            <v>VAR_fout</v>
          </cell>
          <cell r="C412" t="str">
            <v>TPBSc</v>
          </cell>
          <cell r="D412">
            <v>1.3758810508397129E-3</v>
          </cell>
          <cell r="E412">
            <v>1.1084675739647476E-3</v>
          </cell>
          <cell r="F412">
            <v>6.8930711697610524E-4</v>
          </cell>
        </row>
        <row r="413">
          <cell r="A413" t="str">
            <v>T_B_c-ICENGAEXT</v>
          </cell>
          <cell r="B413" t="str">
            <v>VAR_fin</v>
          </cell>
          <cell r="C413" t="str">
            <v>TNGA</v>
          </cell>
          <cell r="D413">
            <v>1.3827603396424475E-4</v>
          </cell>
          <cell r="E413">
            <v>1.389614766324815E-4</v>
          </cell>
          <cell r="F413">
            <v>1.3740470059216302E-4</v>
          </cell>
        </row>
        <row r="414">
          <cell r="A414" t="str">
            <v>T_B_c-ICENGAEXT</v>
          </cell>
          <cell r="B414" t="str">
            <v>VAR_cap</v>
          </cell>
          <cell r="C414" t="str">
            <v>-</v>
          </cell>
          <cell r="D414">
            <v>2.9722792607802899E-5</v>
          </cell>
          <cell r="E414">
            <v>2.3778234086242301E-5</v>
          </cell>
          <cell r="F414">
            <v>1.4861396303901497E-5</v>
          </cell>
        </row>
        <row r="415">
          <cell r="A415" t="str">
            <v>T_B_u-ICEDSLEXT</v>
          </cell>
          <cell r="B415" t="str">
            <v>VAR_fout</v>
          </cell>
          <cell r="C415" t="str">
            <v>CO2_T</v>
          </cell>
          <cell r="D415">
            <v>1.27091099487541</v>
          </cell>
          <cell r="E415">
            <v>1.26943299285819</v>
          </cell>
          <cell r="F415">
            <v>1.26445374316782</v>
          </cell>
        </row>
        <row r="416">
          <cell r="A416" t="str">
            <v>T_B_u-ICEDSLEXT</v>
          </cell>
          <cell r="B416" t="str">
            <v>VAR_fout</v>
          </cell>
          <cell r="C416" t="str">
            <v>TPBSu</v>
          </cell>
          <cell r="D416">
            <v>0.24219576950141591</v>
          </cell>
          <cell r="E416">
            <v>0.19378503446869511</v>
          </cell>
          <cell r="F416">
            <v>0.12111449049140068</v>
          </cell>
        </row>
        <row r="417">
          <cell r="A417" t="str">
            <v>T_B_u-ICEDSLEXT</v>
          </cell>
          <cell r="B417" t="str">
            <v>VAR_fin</v>
          </cell>
          <cell r="C417" t="str">
            <v>TDSL</v>
          </cell>
          <cell r="D417">
            <v>1.7338485605394451E-2</v>
          </cell>
          <cell r="E417">
            <v>1.7318321867096715E-2</v>
          </cell>
          <cell r="F417">
            <v>1.7250392130529601E-2</v>
          </cell>
        </row>
        <row r="418">
          <cell r="A418" t="str">
            <v>T_B_u-ICEDSLEXT</v>
          </cell>
          <cell r="B418" t="str">
            <v>VAR_cap</v>
          </cell>
          <cell r="C418" t="str">
            <v>-</v>
          </cell>
          <cell r="D418">
            <v>4.5678362175525303E-3</v>
          </cell>
          <cell r="E418">
            <v>3.6542689740420198E-3</v>
          </cell>
          <cell r="F418">
            <v>2.2838681465924856E-3</v>
          </cell>
        </row>
        <row r="419">
          <cell r="A419" t="str">
            <v>D-T-ELC-LGV</v>
          </cell>
          <cell r="B419" t="str">
            <v>VAR_fout</v>
          </cell>
          <cell r="C419" t="str">
            <v>T-ELC-LGV_BatSTGin</v>
          </cell>
          <cell r="D419">
            <v>3.532122459017599E-2</v>
          </cell>
          <cell r="E419">
            <v>0.106718796188571</v>
          </cell>
          <cell r="F419">
            <v>0.32547698585016094</v>
          </cell>
          <cell r="G419">
            <v>1.2612042115739703</v>
          </cell>
          <cell r="H419">
            <v>4.8135308206717484</v>
          </cell>
          <cell r="I419">
            <v>5.1579546920727761</v>
          </cell>
        </row>
        <row r="420">
          <cell r="A420" t="str">
            <v>D-T-ELC-LGV</v>
          </cell>
          <cell r="B420" t="str">
            <v>VAR_fin</v>
          </cell>
          <cell r="C420" t="str">
            <v>TELC</v>
          </cell>
          <cell r="D420">
            <v>3.532122459017599E-2</v>
          </cell>
          <cell r="E420">
            <v>0.106718796188571</v>
          </cell>
          <cell r="F420">
            <v>0.32547698585016094</v>
          </cell>
          <cell r="G420">
            <v>1.2612042115739703</v>
          </cell>
          <cell r="H420">
            <v>4.8135308206717484</v>
          </cell>
          <cell r="I420">
            <v>5.1579546920727761</v>
          </cell>
        </row>
        <row r="421">
          <cell r="A421" t="str">
            <v>D-T-ELC-LGV</v>
          </cell>
          <cell r="B421" t="str">
            <v>VAR_ncap</v>
          </cell>
          <cell r="C421" t="str">
            <v>-</v>
          </cell>
          <cell r="D421">
            <v>3.73839479692065E-3</v>
          </cell>
          <cell r="E421">
            <v>7.5430728467141802E-3</v>
          </cell>
          <cell r="F421">
            <v>2.3123246985564901E-2</v>
          </cell>
          <cell r="G421">
            <v>0.100905839719566</v>
          </cell>
          <cell r="H421">
            <v>0.32966247779850499</v>
          </cell>
          <cell r="I421">
            <v>0.351566451894962</v>
          </cell>
        </row>
        <row r="422">
          <cell r="A422" t="str">
            <v>D-T-ELC-LGV</v>
          </cell>
          <cell r="B422" t="str">
            <v>VAR_cap</v>
          </cell>
          <cell r="C422" t="str">
            <v>-</v>
          </cell>
          <cell r="D422">
            <v>3.73839479692065E-3</v>
          </cell>
          <cell r="E422">
            <v>1.12814676436348E-2</v>
          </cell>
          <cell r="F422">
            <v>3.4404714629199799E-2</v>
          </cell>
          <cell r="G422">
            <v>0.13330810822803099</v>
          </cell>
          <cell r="H422">
            <v>0.50878626017825701</v>
          </cell>
          <cell r="I422">
            <v>0.54519167213139197</v>
          </cell>
        </row>
        <row r="423">
          <cell r="A423" t="str">
            <v>T_B_c-FCLH2O-S1</v>
          </cell>
          <cell r="B423" t="str">
            <v>VAR_fout</v>
          </cell>
          <cell r="C423" t="str">
            <v>TPBSc</v>
          </cell>
          <cell r="G423">
            <v>3.4239587580471101E-7</v>
          </cell>
        </row>
        <row r="424">
          <cell r="A424" t="str">
            <v>T_B_c-FCLH2O-S1</v>
          </cell>
          <cell r="B424" t="str">
            <v>VAR_fin</v>
          </cell>
          <cell r="C424" t="str">
            <v>TH2O</v>
          </cell>
          <cell r="G424">
            <v>1.460722279801001E-6</v>
          </cell>
        </row>
        <row r="425">
          <cell r="A425" t="str">
            <v>T_B_c-FCLH2O-S1</v>
          </cell>
          <cell r="B425" t="str">
            <v>VAR_ncap</v>
          </cell>
          <cell r="C425" t="str">
            <v>-</v>
          </cell>
          <cell r="G425">
            <v>2.5117555304292001E-8</v>
          </cell>
        </row>
        <row r="426">
          <cell r="A426" t="str">
            <v>T_B_c-FCLH2O-S1</v>
          </cell>
          <cell r="B426" t="str">
            <v>VAR_cap</v>
          </cell>
          <cell r="C426" t="str">
            <v>-</v>
          </cell>
          <cell r="G426">
            <v>2.5117555304292001E-8</v>
          </cell>
          <cell r="H426">
            <v>7.277203225775899E-9</v>
          </cell>
          <cell r="I426">
            <v>2.69670862840779E-9</v>
          </cell>
        </row>
        <row r="427">
          <cell r="A427" t="str">
            <v>T_B_c-FCLH2O-S2</v>
          </cell>
          <cell r="B427" t="str">
            <v>VAR_fout</v>
          </cell>
          <cell r="C427" t="str">
            <v>TPBSc</v>
          </cell>
          <cell r="G427">
            <v>6.2753471662971316E-7</v>
          </cell>
        </row>
        <row r="428">
          <cell r="A428" t="str">
            <v>T_B_c-FCLH2O-S2</v>
          </cell>
          <cell r="B428" t="str">
            <v>VAR_fin</v>
          </cell>
          <cell r="C428" t="str">
            <v>TH2O</v>
          </cell>
          <cell r="G428">
            <v>3.7109940644012558E-6</v>
          </cell>
        </row>
        <row r="429">
          <cell r="A429" t="str">
            <v>T_B_c-FCLH2O-S2</v>
          </cell>
          <cell r="B429" t="str">
            <v>VAR_ncap</v>
          </cell>
          <cell r="C429" t="str">
            <v>-</v>
          </cell>
          <cell r="G429">
            <v>2.71477116320612E-8</v>
          </cell>
        </row>
        <row r="430">
          <cell r="A430" t="str">
            <v>T_B_c-FCLH2O-S2</v>
          </cell>
          <cell r="B430" t="str">
            <v>VAR_cap</v>
          </cell>
          <cell r="C430" t="str">
            <v>-</v>
          </cell>
          <cell r="G430">
            <v>2.71477116320612E-8</v>
          </cell>
          <cell r="H430">
            <v>-5.8688027190953903E-9</v>
          </cell>
        </row>
        <row r="431">
          <cell r="A431" t="str">
            <v>T_B_c-FCLH2O-S3</v>
          </cell>
          <cell r="B431" t="str">
            <v>VAR_fout</v>
          </cell>
          <cell r="C431" t="str">
            <v>TPBSc</v>
          </cell>
          <cell r="G431">
            <v>6.2714343328294469E-7</v>
          </cell>
        </row>
        <row r="432">
          <cell r="A432" t="str">
            <v>T_B_c-FCLH2O-S3</v>
          </cell>
          <cell r="B432" t="str">
            <v>VAR_fin</v>
          </cell>
          <cell r="C432" t="str">
            <v>TH2O</v>
          </cell>
          <cell r="G432">
            <v>5.5446233976645578E-6</v>
          </cell>
        </row>
        <row r="433">
          <cell r="A433" t="str">
            <v>T_B_c-FCLH2O-S3</v>
          </cell>
          <cell r="B433" t="str">
            <v>VAR_ncap</v>
          </cell>
          <cell r="C433" t="str">
            <v>-</v>
          </cell>
          <cell r="G433">
            <v>2.74694280186658E-8</v>
          </cell>
          <cell r="H433">
            <v>1.2805766062187399E-8</v>
          </cell>
        </row>
        <row r="434">
          <cell r="A434" t="str">
            <v>T_B_c-FCLH2O-S3</v>
          </cell>
          <cell r="B434" t="str">
            <v>VAR_cap</v>
          </cell>
          <cell r="C434" t="str">
            <v>-</v>
          </cell>
          <cell r="G434">
            <v>2.74694280186658E-8</v>
          </cell>
          <cell r="H434">
            <v>2.4078734174338801E-8</v>
          </cell>
          <cell r="I434">
            <v>4.3862469571368197E-9</v>
          </cell>
        </row>
        <row r="435">
          <cell r="A435" t="str">
            <v>T_C-HYBGSLEXT</v>
          </cell>
          <cell r="B435" t="str">
            <v>VAR_fout</v>
          </cell>
          <cell r="C435" t="str">
            <v>CO2_T</v>
          </cell>
          <cell r="D435">
            <v>92.550649886890596</v>
          </cell>
          <cell r="E435">
            <v>91.724635574564303</v>
          </cell>
          <cell r="F435">
            <v>68.279087716899795</v>
          </cell>
          <cell r="G435">
            <v>32.396547196930499</v>
          </cell>
        </row>
        <row r="436">
          <cell r="A436" t="str">
            <v>T_C-HYBGSLEXT</v>
          </cell>
          <cell r="B436" t="str">
            <v>VAR_fout</v>
          </cell>
          <cell r="C436" t="str">
            <v>TPCAR</v>
          </cell>
          <cell r="D436">
            <v>0.61925583023099373</v>
          </cell>
          <cell r="E436">
            <v>0.62769505809597459</v>
          </cell>
          <cell r="F436">
            <v>0.48284556185653238</v>
          </cell>
          <cell r="G436">
            <v>0.24142875146155002</v>
          </cell>
        </row>
        <row r="437">
          <cell r="A437" t="str">
            <v>T_C-HYBGSLEXT</v>
          </cell>
          <cell r="B437" t="str">
            <v>VAR_fin</v>
          </cell>
          <cell r="C437" t="str">
            <v>TGSL</v>
          </cell>
          <cell r="D437">
            <v>1.254073846705833</v>
          </cell>
          <cell r="E437">
            <v>1.2428812408477545</v>
          </cell>
          <cell r="F437">
            <v>0.92519089047289749</v>
          </cell>
          <cell r="G437">
            <v>0.43897760429445071</v>
          </cell>
        </row>
        <row r="438">
          <cell r="A438" t="str">
            <v>T_C-HYBGSLEXT</v>
          </cell>
          <cell r="B438" t="str">
            <v>VAR_cap</v>
          </cell>
          <cell r="C438" t="str">
            <v>-</v>
          </cell>
          <cell r="D438">
            <v>6.5841999999999998E-2</v>
          </cell>
          <cell r="E438">
            <v>5.7063066666666697E-2</v>
          </cell>
          <cell r="F438">
            <v>4.3894642763912285E-2</v>
          </cell>
          <cell r="G438">
            <v>2.1947320747668909E-2</v>
          </cell>
        </row>
        <row r="439">
          <cell r="A439" t="str">
            <v>TPAVDKEREXT</v>
          </cell>
          <cell r="B439" t="str">
            <v>VAR_fout</v>
          </cell>
          <cell r="C439" t="str">
            <v>CO2_T</v>
          </cell>
          <cell r="D439">
            <v>79.576349423418094</v>
          </cell>
          <cell r="E439">
            <v>100.796237247683</v>
          </cell>
          <cell r="F439">
            <v>132.626068984081</v>
          </cell>
          <cell r="G439">
            <v>185.675788544743</v>
          </cell>
          <cell r="H439">
            <v>154.38211110512901</v>
          </cell>
          <cell r="I439">
            <v>123.088433665514</v>
          </cell>
        </row>
        <row r="440">
          <cell r="A440" t="str">
            <v>TPAVDKEREXT</v>
          </cell>
          <cell r="B440" t="str">
            <v>VAR_fout</v>
          </cell>
          <cell r="C440" t="str">
            <v>TPAVD</v>
          </cell>
          <cell r="D440">
            <v>1.0930817228491501</v>
          </cell>
          <cell r="E440">
            <v>1.3845636984571901</v>
          </cell>
          <cell r="F440">
            <v>1.82178666186924</v>
          </cell>
          <cell r="G440">
            <v>2.5504916008893299</v>
          </cell>
          <cell r="H440">
            <v>2.1206333943012199</v>
          </cell>
          <cell r="I440">
            <v>1.6907751877131001</v>
          </cell>
        </row>
        <row r="441">
          <cell r="A441" t="str">
            <v>TPAVDKEREXT</v>
          </cell>
          <cell r="B441" t="str">
            <v>VAR_fin</v>
          </cell>
          <cell r="C441" t="str">
            <v>TKER</v>
          </cell>
          <cell r="D441">
            <v>1.0930817228491501</v>
          </cell>
          <cell r="E441">
            <v>1.3845636984571901</v>
          </cell>
          <cell r="F441">
            <v>1.82178666186924</v>
          </cell>
          <cell r="G441">
            <v>2.5504916008893299</v>
          </cell>
          <cell r="H441">
            <v>2.1206333943012199</v>
          </cell>
          <cell r="I441">
            <v>1.6907751877131001</v>
          </cell>
        </row>
        <row r="442">
          <cell r="A442" t="str">
            <v>TPAVDKEREXT</v>
          </cell>
          <cell r="B442" t="str">
            <v>VAR_ncap</v>
          </cell>
          <cell r="C442" t="str">
            <v>-</v>
          </cell>
          <cell r="D442">
            <v>0.579890203141184</v>
          </cell>
          <cell r="E442">
            <v>1.23232800392304</v>
          </cell>
          <cell r="F442">
            <v>1.03803500425101</v>
          </cell>
          <cell r="G442">
            <v>1.38197481177801</v>
          </cell>
          <cell r="H442">
            <v>0.83311031573507399</v>
          </cell>
          <cell r="I442">
            <v>1.18126295459465</v>
          </cell>
        </row>
        <row r="443">
          <cell r="A443" t="str">
            <v>TPAVDKEREXT</v>
          </cell>
          <cell r="B443" t="str">
            <v>VAR_cap</v>
          </cell>
          <cell r="C443" t="str">
            <v>-</v>
          </cell>
          <cell r="D443">
            <v>1.6729719259903342</v>
          </cell>
          <cell r="E443">
            <v>2.9052999299133702</v>
          </cell>
          <cell r="F443">
            <v>2.8696172912289901</v>
          </cell>
          <cell r="G443">
            <v>3.2234805198824303</v>
          </cell>
          <cell r="H443">
            <v>2.3593855733000848</v>
          </cell>
          <cell r="I443">
            <v>1.8180443756845299</v>
          </cell>
        </row>
        <row r="444">
          <cell r="A444" t="str">
            <v>T_C-ICE-GSL-S1</v>
          </cell>
          <cell r="B444" t="str">
            <v>VAR_fout</v>
          </cell>
          <cell r="C444" t="str">
            <v>CO2_T</v>
          </cell>
          <cell r="D444">
            <v>36.658437677333318</v>
          </cell>
          <cell r="E444">
            <v>40.645375466157155</v>
          </cell>
          <cell r="F444">
            <v>76.796293339716271</v>
          </cell>
          <cell r="G444">
            <v>64.118548579519754</v>
          </cell>
          <cell r="H444">
            <v>4.1917965574734231</v>
          </cell>
          <cell r="I444">
            <v>2.7883095914435579E-2</v>
          </cell>
        </row>
        <row r="445">
          <cell r="A445" t="str">
            <v>T_C-ICE-GSL-S1</v>
          </cell>
          <cell r="B445" t="str">
            <v>VAR_fout</v>
          </cell>
          <cell r="C445" t="str">
            <v>TPCAR</v>
          </cell>
          <cell r="D445">
            <v>0.33913458644052702</v>
          </cell>
          <cell r="E445">
            <v>0.37236070668181076</v>
          </cell>
          <cell r="F445">
            <v>0.65315421767802095</v>
          </cell>
          <cell r="G445">
            <v>0.54519391346466128</v>
          </cell>
          <cell r="H445">
            <v>3.405740270856334E-2</v>
          </cell>
          <cell r="I445">
            <v>2.5676784260285059E-4</v>
          </cell>
        </row>
        <row r="446">
          <cell r="A446" t="str">
            <v>T_C-ICE-GSL-S1</v>
          </cell>
          <cell r="B446" t="str">
            <v>VAR_fin</v>
          </cell>
          <cell r="C446" t="str">
            <v>TGSL</v>
          </cell>
          <cell r="D446">
            <v>0.49672679779584444</v>
          </cell>
          <cell r="E446">
            <v>0.55075034506988052</v>
          </cell>
          <cell r="F446">
            <v>1.0406001807549627</v>
          </cell>
          <cell r="G446">
            <v>0.86881502140270772</v>
          </cell>
          <cell r="H446">
            <v>5.679941134787847E-2</v>
          </cell>
          <cell r="I446">
            <v>3.7781972783788046E-4</v>
          </cell>
        </row>
        <row r="447">
          <cell r="A447" t="str">
            <v>T_C-ICE-GSL-S1</v>
          </cell>
          <cell r="B447" t="str">
            <v>VAR_ncap</v>
          </cell>
          <cell r="C447" t="str">
            <v>-</v>
          </cell>
          <cell r="E447">
            <v>2.9468250405788799E-5</v>
          </cell>
          <cell r="F447">
            <v>6.07251419347088E-2</v>
          </cell>
          <cell r="G447">
            <v>6.5930986742635003E-5</v>
          </cell>
          <cell r="H447">
            <v>3.0512702792198401E-5</v>
          </cell>
          <cell r="I447">
            <v>9.8935537946776098E-6</v>
          </cell>
        </row>
        <row r="448">
          <cell r="A448" t="str">
            <v>T_C-ICE-GSL-S1</v>
          </cell>
          <cell r="B448" t="str">
            <v>VAR_cap</v>
          </cell>
          <cell r="C448" t="str">
            <v>-</v>
          </cell>
          <cell r="D448">
            <v>3.6542178433027414E-2</v>
          </cell>
          <cell r="E448">
            <v>3.9785818679068656E-2</v>
          </cell>
          <cell r="F448">
            <v>9.9237064480804202E-2</v>
          </cell>
          <cell r="G448">
            <v>8.2847123294471636E-2</v>
          </cell>
          <cell r="H448">
            <v>5.1710239958383487E-3</v>
          </cell>
          <cell r="I448">
            <v>3.7723771912145868E-5</v>
          </cell>
        </row>
        <row r="449">
          <cell r="A449" t="str">
            <v>V2G</v>
          </cell>
          <cell r="B449" t="str">
            <v>VAR_fout</v>
          </cell>
          <cell r="C449" t="str">
            <v>ELC35</v>
          </cell>
          <cell r="G449">
            <v>5.7714930145061807E-2</v>
          </cell>
          <cell r="H449">
            <v>0.3465241817986921</v>
          </cell>
          <cell r="I449">
            <v>1.1013352287951115</v>
          </cell>
        </row>
        <row r="450">
          <cell r="A450" t="str">
            <v>V2G</v>
          </cell>
          <cell r="B450" t="str">
            <v>VAR_fin</v>
          </cell>
          <cell r="C450" t="str">
            <v>T-ELC-Bus_c_BatSTGout_S1</v>
          </cell>
          <cell r="G450">
            <v>1.5176314170417191E-3</v>
          </cell>
          <cell r="H450">
            <v>3.777045710833074E-3</v>
          </cell>
          <cell r="I450">
            <v>2.1461069445533653E-3</v>
          </cell>
        </row>
        <row r="451">
          <cell r="A451" t="str">
            <v>V2G</v>
          </cell>
          <cell r="B451" t="str">
            <v>VAR_fin</v>
          </cell>
          <cell r="C451" t="str">
            <v>T-ELC-Bus_c_BatSTGout_S2</v>
          </cell>
          <cell r="G451">
            <v>1.266382566346168E-3</v>
          </cell>
          <cell r="H451">
            <v>2.5625148657100289E-3</v>
          </cell>
          <cell r="I451">
            <v>1.5869121511069787E-3</v>
          </cell>
        </row>
        <row r="452">
          <cell r="A452" t="str">
            <v>V2G</v>
          </cell>
          <cell r="B452" t="str">
            <v>VAR_fin</v>
          </cell>
          <cell r="C452" t="str">
            <v>T-ELC-Bus_c_BatSTGout_S3</v>
          </cell>
          <cell r="G452">
            <v>2.7614065452474752E-4</v>
          </cell>
          <cell r="H452">
            <v>2.2037935921074964E-4</v>
          </cell>
          <cell r="I452">
            <v>1.9987031560653789E-4</v>
          </cell>
        </row>
        <row r="453">
          <cell r="A453" t="str">
            <v>V2G</v>
          </cell>
          <cell r="B453" t="str">
            <v>VAR_fin</v>
          </cell>
          <cell r="C453" t="str">
            <v>T-ELC-Bus_c_BatSTGout_S4</v>
          </cell>
          <cell r="G453">
            <v>2.7027175791846496E-4</v>
          </cell>
          <cell r="H453">
            <v>3.473538151105272E-4</v>
          </cell>
          <cell r="I453">
            <v>2.0080962586435384E-4</v>
          </cell>
        </row>
        <row r="454">
          <cell r="A454" t="str">
            <v>V2G</v>
          </cell>
          <cell r="B454" t="str">
            <v>VAR_fin</v>
          </cell>
          <cell r="C454" t="str">
            <v>T-ELC-car-BatSTGOut_S1</v>
          </cell>
          <cell r="G454">
            <v>1.4202874786230541E-2</v>
          </cell>
          <cell r="H454">
            <v>0.10468375486337825</v>
          </cell>
          <cell r="I454">
            <v>0.23244300801184659</v>
          </cell>
        </row>
        <row r="455">
          <cell r="A455" t="str">
            <v>V2G</v>
          </cell>
          <cell r="B455" t="str">
            <v>VAR_fin</v>
          </cell>
          <cell r="C455" t="str">
            <v>T-ELC-car-BatSTGOut_S2</v>
          </cell>
          <cell r="G455">
            <v>4.8021230522368279E-3</v>
          </cell>
          <cell r="H455">
            <v>4.953607068348815E-2</v>
          </cell>
          <cell r="I455">
            <v>0.15754960484514238</v>
          </cell>
        </row>
        <row r="456">
          <cell r="A456" t="str">
            <v>V2G</v>
          </cell>
          <cell r="B456" t="str">
            <v>VAR_fin</v>
          </cell>
          <cell r="C456" t="str">
            <v>T-ELC-car-BatSTGOut_S3</v>
          </cell>
          <cell r="G456">
            <v>5.7141156118098819E-3</v>
          </cell>
          <cell r="H456">
            <v>5.162114028074128E-2</v>
          </cell>
          <cell r="I456">
            <v>0.20467828916679626</v>
          </cell>
        </row>
        <row r="457">
          <cell r="A457" t="str">
            <v>V2G</v>
          </cell>
          <cell r="B457" t="str">
            <v>VAR_fin</v>
          </cell>
          <cell r="C457" t="str">
            <v>T-ELC-car-BatSTGOut_S4</v>
          </cell>
          <cell r="G457">
            <v>5.7344731429822453E-3</v>
          </cell>
          <cell r="H457">
            <v>5.46985113662782E-2</v>
          </cell>
          <cell r="I457">
            <v>0.16202921105803053</v>
          </cell>
        </row>
        <row r="458">
          <cell r="A458" t="str">
            <v>V2G</v>
          </cell>
          <cell r="B458" t="str">
            <v>VAR_fin</v>
          </cell>
          <cell r="C458" t="str">
            <v>T-ELC-car-PlgSTGOut_S1</v>
          </cell>
          <cell r="G458">
            <v>3.7477721866063633E-4</v>
          </cell>
          <cell r="H458">
            <v>1.1257352568489389E-3</v>
          </cell>
          <cell r="I458">
            <v>1.0582160594711722E-3</v>
          </cell>
        </row>
        <row r="459">
          <cell r="A459" t="str">
            <v>V2G</v>
          </cell>
          <cell r="B459" t="str">
            <v>VAR_fin</v>
          </cell>
          <cell r="C459" t="str">
            <v>T-ELC-car-PlgSTGOut_S2</v>
          </cell>
          <cell r="G459">
            <v>1.5924052620402859E-4</v>
          </cell>
          <cell r="H459">
            <v>1.2310905005765882E-3</v>
          </cell>
          <cell r="I459">
            <v>1.147222089772817E-3</v>
          </cell>
        </row>
        <row r="460">
          <cell r="A460" t="str">
            <v>V2G</v>
          </cell>
          <cell r="B460" t="str">
            <v>VAR_fin</v>
          </cell>
          <cell r="C460" t="str">
            <v>T-ELC-car-PlgSTGOut_S3</v>
          </cell>
          <cell r="G460">
            <v>9.1717205828590817E-3</v>
          </cell>
          <cell r="H460">
            <v>4.9932472124091798E-2</v>
          </cell>
          <cell r="I460">
            <v>0.31774808927867265</v>
          </cell>
        </row>
        <row r="461">
          <cell r="A461" t="str">
            <v>V2G</v>
          </cell>
          <cell r="B461" t="str">
            <v>VAR_fin</v>
          </cell>
          <cell r="C461" t="str">
            <v>T-ELC-TWSTGout_S1</v>
          </cell>
          <cell r="G461">
            <v>2.1686129793931329E-3</v>
          </cell>
          <cell r="H461">
            <v>3.1459566271205852E-3</v>
          </cell>
          <cell r="I461">
            <v>2.4879645228193131E-3</v>
          </cell>
        </row>
        <row r="462">
          <cell r="A462" t="str">
            <v>V2G</v>
          </cell>
          <cell r="B462" t="str">
            <v>VAR_fin</v>
          </cell>
          <cell r="C462" t="str">
            <v>T-ELC-car-PlgSTGOut_S4</v>
          </cell>
          <cell r="G462">
            <v>1.1245538669653324E-4</v>
          </cell>
          <cell r="H462">
            <v>2.5475703687279278E-3</v>
          </cell>
          <cell r="I462">
            <v>3.2613576628223039E-3</v>
          </cell>
        </row>
        <row r="463">
          <cell r="A463" t="str">
            <v>V2G</v>
          </cell>
          <cell r="B463" t="str">
            <v>VAR_fin</v>
          </cell>
          <cell r="C463" t="str">
            <v>T-ELC-TWSTGout_S2</v>
          </cell>
          <cell r="G463">
            <v>2.9828879705981973E-3</v>
          </cell>
          <cell r="H463">
            <v>3.9228150168152268E-3</v>
          </cell>
          <cell r="I463">
            <v>2.795155613444076E-3</v>
          </cell>
        </row>
        <row r="464">
          <cell r="A464" t="str">
            <v>V2G</v>
          </cell>
          <cell r="B464" t="str">
            <v>VAR_fin</v>
          </cell>
          <cell r="C464" t="str">
            <v>T-ELC-TWSTGout_S3</v>
          </cell>
          <cell r="G464">
            <v>3.6385882895287958E-3</v>
          </cell>
          <cell r="H464">
            <v>7.1349281517315627E-3</v>
          </cell>
          <cell r="I464">
            <v>4.213778334000772E-3</v>
          </cell>
        </row>
        <row r="465">
          <cell r="A465" t="str">
            <v>V2G</v>
          </cell>
          <cell r="B465" t="str">
            <v>VAR_fin</v>
          </cell>
          <cell r="C465" t="str">
            <v>T-ELC-TWSTGout_S4</v>
          </cell>
          <cell r="G465">
            <v>3.7608029434830778E-3</v>
          </cell>
          <cell r="H465">
            <v>7.9972934826435613E-3</v>
          </cell>
          <cell r="I465">
            <v>6.5484928224712729E-3</v>
          </cell>
        </row>
        <row r="466">
          <cell r="A466" t="str">
            <v>V2G</v>
          </cell>
          <cell r="B466" t="str">
            <v>VAR_fin</v>
          </cell>
          <cell r="C466" t="str">
            <v>T-ELC-Bus_u_BatSTGout_S1</v>
          </cell>
          <cell r="G466">
            <v>1.2879408823529055E-4</v>
          </cell>
          <cell r="H466">
            <v>1.7954805748609065E-4</v>
          </cell>
          <cell r="I466">
            <v>1.4365987708763568E-4</v>
          </cell>
        </row>
        <row r="467">
          <cell r="A467" t="str">
            <v>V2G</v>
          </cell>
          <cell r="B467" t="str">
            <v>VAR_fin</v>
          </cell>
          <cell r="C467" t="str">
            <v>T-ELC-Bus_u_BatSTGout_S2</v>
          </cell>
          <cell r="G467">
            <v>1.1174740675476066E-4</v>
          </cell>
          <cell r="H467">
            <v>1.6226249543019653E-4</v>
          </cell>
          <cell r="I467">
            <v>1.2927253243313972E-4</v>
          </cell>
        </row>
        <row r="468">
          <cell r="A468" t="str">
            <v>V2G</v>
          </cell>
          <cell r="B468" t="str">
            <v>VAR_fin</v>
          </cell>
          <cell r="C468" t="str">
            <v>T-ELC-Bus_u_BatSTGout_S3</v>
          </cell>
          <cell r="G468">
            <v>5.8912530166840382E-5</v>
          </cell>
          <cell r="H468">
            <v>8.1080920519554709E-5</v>
          </cell>
          <cell r="I468">
            <v>7.0433453550584074E-5</v>
          </cell>
        </row>
        <row r="469">
          <cell r="A469" t="str">
            <v>V2G</v>
          </cell>
          <cell r="B469" t="str">
            <v>VAR_fin</v>
          </cell>
          <cell r="C469" t="str">
            <v>T-ELC-Bus_u_BatSTGout_S4</v>
          </cell>
          <cell r="G469">
            <v>1.43299894572968E-4</v>
          </cell>
          <cell r="H469">
            <v>1.9761054497115517E-4</v>
          </cell>
          <cell r="I469">
            <v>1.4779189432612429E-4</v>
          </cell>
        </row>
        <row r="470">
          <cell r="A470" t="str">
            <v>V2G</v>
          </cell>
          <cell r="B470" t="str">
            <v>VAR_fin</v>
          </cell>
          <cell r="C470" t="str">
            <v>T-ELC-LGV_BatSTGout</v>
          </cell>
          <cell r="G470">
            <v>6.4423903371368192E-4</v>
          </cell>
          <cell r="H470">
            <v>5.433374348445026E-4</v>
          </cell>
          <cell r="I470">
            <v>3.5241843204021758E-4</v>
          </cell>
        </row>
        <row r="471">
          <cell r="A471" t="str">
            <v>V2G</v>
          </cell>
          <cell r="B471" t="str">
            <v>VAR_fin</v>
          </cell>
          <cell r="C471" t="str">
            <v>T-ELC-HGV_BatSTGout</v>
          </cell>
          <cell r="G471">
            <v>6.1395462517897478E-4</v>
          </cell>
          <cell r="H471">
            <v>1.0098124868164417E-3</v>
          </cell>
          <cell r="I471">
            <v>5.1019357737414495E-4</v>
          </cell>
        </row>
        <row r="472">
          <cell r="A472" t="str">
            <v>V2G</v>
          </cell>
          <cell r="B472" t="str">
            <v>VAR_ncap</v>
          </cell>
          <cell r="C472" t="str">
            <v>-</v>
          </cell>
          <cell r="G472">
            <v>6.0945265292778198E-3</v>
          </cell>
          <cell r="H472">
            <v>0.37022667957576899</v>
          </cell>
          <cell r="I472">
            <v>1.28376637690791</v>
          </cell>
        </row>
        <row r="473">
          <cell r="A473" t="str">
            <v>V2G</v>
          </cell>
          <cell r="B473" t="str">
            <v>VAR_cap</v>
          </cell>
          <cell r="C473" t="str">
            <v>-</v>
          </cell>
          <cell r="G473">
            <v>6.0945265292778198E-3</v>
          </cell>
          <cell r="H473">
            <v>0.50242902596122752</v>
          </cell>
          <cell r="I473">
            <v>1.6066126556576246</v>
          </cell>
        </row>
        <row r="474">
          <cell r="A474" t="str">
            <v>TPSHPELCEXT</v>
          </cell>
          <cell r="B474" t="str">
            <v>VAR_fout</v>
          </cell>
          <cell r="C474" t="str">
            <v>TPSHP</v>
          </cell>
          <cell r="E474">
            <v>3.1444861569125897E-5</v>
          </cell>
          <cell r="F474">
            <v>4.2844833481927998E-5</v>
          </cell>
          <cell r="G474">
            <v>2.7809593696923001E-5</v>
          </cell>
          <cell r="H474">
            <v>1.4767799922325599E-5</v>
          </cell>
          <cell r="I474">
            <v>2.96566944174296E-5</v>
          </cell>
        </row>
        <row r="475">
          <cell r="A475" t="str">
            <v>TPSHPELCEXT</v>
          </cell>
          <cell r="B475" t="str">
            <v>VAR_fin</v>
          </cell>
          <cell r="C475" t="str">
            <v>TELC</v>
          </cell>
          <cell r="E475">
            <v>1.2744172970747055E-5</v>
          </cell>
          <cell r="F475">
            <v>1.7364425904569884E-5</v>
          </cell>
          <cell r="G475">
            <v>1.1270848546770491E-5</v>
          </cell>
          <cell r="H475">
            <v>5.9851876337178725E-6</v>
          </cell>
          <cell r="I475">
            <v>1.2019453244068351E-5</v>
          </cell>
        </row>
        <row r="476">
          <cell r="A476" t="str">
            <v>TPSHPELCEXT</v>
          </cell>
          <cell r="B476" t="str">
            <v>VAR_ncap</v>
          </cell>
          <cell r="C476" t="str">
            <v>-</v>
          </cell>
          <cell r="D476">
            <v>1.7650065013056499E-6</v>
          </cell>
          <cell r="E476">
            <v>4.4931745073982897E-6</v>
          </cell>
          <cell r="F476">
            <v>1.9759197224210399E-6</v>
          </cell>
          <cell r="G476">
            <v>1.32620933154277E-6</v>
          </cell>
          <cell r="H476">
            <v>1.0982778326988299E-6</v>
          </cell>
          <cell r="I476">
            <v>8.8306632259840705E-7</v>
          </cell>
        </row>
        <row r="477">
          <cell r="A477" t="str">
            <v>TPSHPELCEXT</v>
          </cell>
          <cell r="B477" t="str">
            <v>VAR_cap</v>
          </cell>
          <cell r="C477" t="str">
            <v>-</v>
          </cell>
          <cell r="D477">
            <v>1.7650065013056499E-6</v>
          </cell>
          <cell r="E477">
            <v>6.2581810087039396E-6</v>
          </cell>
          <cell r="F477">
            <v>7.2641091583775794E-6</v>
          </cell>
          <cell r="G477">
            <v>6.3546623607442389E-6</v>
          </cell>
          <cell r="H477">
            <v>-4.5229587183347602E-6</v>
          </cell>
          <cell r="I477">
            <v>-7.264280142751033E-8</v>
          </cell>
        </row>
        <row r="478">
          <cell r="A478" t="str">
            <v>TFLGV-ICEGSL</v>
          </cell>
          <cell r="B478" t="str">
            <v>VAR_fout</v>
          </cell>
          <cell r="C478" t="str">
            <v>CO2_T</v>
          </cell>
          <cell r="D478">
            <v>26.849650650730879</v>
          </cell>
          <cell r="E478">
            <v>56.728059093798038</v>
          </cell>
          <cell r="F478">
            <v>89.556262864148152</v>
          </cell>
          <cell r="G478">
            <v>130.29061297617065</v>
          </cell>
          <cell r="H478">
            <v>100.69331149900474</v>
          </cell>
          <cell r="I478">
            <v>121.89859623127902</v>
          </cell>
        </row>
        <row r="479">
          <cell r="A479" t="str">
            <v>TFLGV-ICEGSL</v>
          </cell>
          <cell r="B479" t="str">
            <v>VAR_fout</v>
          </cell>
          <cell r="C479" t="str">
            <v>TFLGV</v>
          </cell>
          <cell r="D479">
            <v>0.12778309464208987</v>
          </cell>
          <cell r="E479">
            <v>0.26998068013400972</v>
          </cell>
          <cell r="F479">
            <v>0.42621695761429929</v>
          </cell>
          <cell r="G479">
            <v>0.62008023662895295</v>
          </cell>
          <cell r="H479">
            <v>0.47922049789323767</v>
          </cell>
          <cell r="I479">
            <v>0.58014087637804557</v>
          </cell>
        </row>
        <row r="480">
          <cell r="A480" t="str">
            <v>TFLGV-ICEGSL</v>
          </cell>
          <cell r="B480" t="str">
            <v>VAR_fin</v>
          </cell>
          <cell r="C480" t="str">
            <v>TGSL</v>
          </cell>
          <cell r="D480">
            <v>0.3638164044814482</v>
          </cell>
          <cell r="E480">
            <v>0.76867288744983864</v>
          </cell>
          <cell r="F480">
            <v>1.213499496804175</v>
          </cell>
          <cell r="G480">
            <v>1.7654554603817159</v>
          </cell>
          <cell r="H480">
            <v>1.3644080148916613</v>
          </cell>
          <cell r="I480">
            <v>1.6517424963587872</v>
          </cell>
        </row>
        <row r="481">
          <cell r="A481" t="str">
            <v>TFLGV-ICEGSL</v>
          </cell>
          <cell r="B481" t="str">
            <v>VAR_ncap</v>
          </cell>
          <cell r="C481" t="str">
            <v>-</v>
          </cell>
          <cell r="E481">
            <v>6.7147083862889598E-3</v>
          </cell>
          <cell r="F481">
            <v>1.27757941576182E-2</v>
          </cell>
          <cell r="G481">
            <v>2.9081961786978399E-2</v>
          </cell>
          <cell r="H481">
            <v>1.24075621104523E-4</v>
          </cell>
          <cell r="I481">
            <v>4.9994333049878797E-2</v>
          </cell>
        </row>
        <row r="482">
          <cell r="A482" t="str">
            <v>TFLGV-ICEGSL</v>
          </cell>
          <cell r="B482" t="str">
            <v>VAR_cap</v>
          </cell>
          <cell r="C482" t="str">
            <v>-</v>
          </cell>
          <cell r="D482">
            <v>1.2434769137901378E-2</v>
          </cell>
          <cell r="E482">
            <v>2.0836684576649465E-2</v>
          </cell>
          <cell r="F482">
            <v>3.3612502543907199E-2</v>
          </cell>
          <cell r="G482">
            <v>5.5382479994528153E-2</v>
          </cell>
          <cell r="H482">
            <v>4.7448116269999556E-2</v>
          </cell>
          <cell r="I482">
            <v>5.7457434374556679E-2</v>
          </cell>
        </row>
        <row r="483">
          <cell r="A483" t="str">
            <v>T_C-ICE-GSL-S2</v>
          </cell>
          <cell r="B483" t="str">
            <v>VAR_fout</v>
          </cell>
          <cell r="C483" t="str">
            <v>CO2_T</v>
          </cell>
          <cell r="D483">
            <v>277.63276842805033</v>
          </cell>
          <cell r="E483">
            <v>391.66234531041113</v>
          </cell>
          <cell r="F483">
            <v>389.6833577106832</v>
          </cell>
          <cell r="G483">
            <v>305.97352914553159</v>
          </cell>
          <cell r="H483">
            <v>0.47744864818338201</v>
          </cell>
          <cell r="I483">
            <v>7.0782522441972612E-2</v>
          </cell>
        </row>
        <row r="484">
          <cell r="A484" t="str">
            <v>T_C-ICE-GSL-S2</v>
          </cell>
          <cell r="B484" t="str">
            <v>VAR_fout</v>
          </cell>
          <cell r="C484" t="str">
            <v>TPCAR</v>
          </cell>
          <cell r="D484">
            <v>2.2806082788695625</v>
          </cell>
          <cell r="E484">
            <v>3.2079086547897839</v>
          </cell>
          <cell r="F484">
            <v>3.1899310049154685</v>
          </cell>
          <cell r="G484">
            <v>2.5239666714563125</v>
          </cell>
          <cell r="H484">
            <v>3.3880271579705464E-3</v>
          </cell>
          <cell r="I484">
            <v>5.2169084238447804E-4</v>
          </cell>
        </row>
        <row r="485">
          <cell r="A485" t="str">
            <v>T_C-ICE-GSL-S2</v>
          </cell>
          <cell r="B485" t="str">
            <v>VAR_fin</v>
          </cell>
          <cell r="C485" t="str">
            <v>TGSL</v>
          </cell>
          <cell r="D485">
            <v>3.7619616318163973</v>
          </cell>
          <cell r="E485">
            <v>5.3070778497345747</v>
          </cell>
          <cell r="F485">
            <v>5.2802622996027546</v>
          </cell>
          <cell r="G485">
            <v>4.145982779749759</v>
          </cell>
          <cell r="H485">
            <v>6.4694938778236096E-3</v>
          </cell>
          <cell r="I485">
            <v>9.5911277021643038E-4</v>
          </cell>
        </row>
        <row r="486">
          <cell r="A486" t="str">
            <v>T_C-ICE-GSL-S2</v>
          </cell>
          <cell r="B486" t="str">
            <v>VAR_ncap</v>
          </cell>
          <cell r="C486" t="str">
            <v>-</v>
          </cell>
          <cell r="E486">
            <v>2.2176513357260498E-5</v>
          </cell>
          <cell r="F486">
            <v>2.0245005973746899E-3</v>
          </cell>
          <cell r="G486">
            <v>1.50863097513411E-4</v>
          </cell>
          <cell r="H486">
            <v>3.5799739115375302E-5</v>
          </cell>
          <cell r="I486">
            <v>1.31266621832558E-5</v>
          </cell>
        </row>
        <row r="487">
          <cell r="A487" t="str">
            <v>T_C-ICE-GSL-S2</v>
          </cell>
          <cell r="B487" t="str">
            <v>VAR_cap</v>
          </cell>
          <cell r="C487" t="str">
            <v>-</v>
          </cell>
          <cell r="D487">
            <v>0.21742988817836417</v>
          </cell>
          <cell r="E487">
            <v>0.24339377525717174</v>
          </cell>
          <cell r="F487">
            <v>0.24204655736631081</v>
          </cell>
          <cell r="G487">
            <v>0.19152992977969249</v>
          </cell>
          <cell r="H487">
            <v>3.3448323565857387E-4</v>
          </cell>
          <cell r="I487">
            <v>5.0803075634109932E-5</v>
          </cell>
        </row>
        <row r="488">
          <cell r="A488" t="str">
            <v>T_C-ICE-DSL-S1</v>
          </cell>
          <cell r="B488" t="str">
            <v>VAR_fout</v>
          </cell>
          <cell r="C488" t="str">
            <v>CO2_T</v>
          </cell>
          <cell r="D488">
            <v>0.37716223059079274</v>
          </cell>
          <cell r="E488">
            <v>0.43995137140227814</v>
          </cell>
          <cell r="F488">
            <v>0.35986119684094553</v>
          </cell>
          <cell r="G488">
            <v>0.27422647525439486</v>
          </cell>
          <cell r="H488">
            <v>4.5614045899661081E-2</v>
          </cell>
          <cell r="I488">
            <v>1.6444722359633207E-2</v>
          </cell>
        </row>
        <row r="489">
          <cell r="A489" t="str">
            <v>T_C-ICE-DSL-S1</v>
          </cell>
          <cell r="B489" t="str">
            <v>VAR_fout</v>
          </cell>
          <cell r="C489" t="str">
            <v>TPCAR</v>
          </cell>
          <cell r="D489">
            <v>3.8585294913505079E-3</v>
          </cell>
          <cell r="E489">
            <v>4.6282645415466409E-3</v>
          </cell>
          <cell r="F489">
            <v>3.8189786375031846E-3</v>
          </cell>
          <cell r="G489">
            <v>2.9438500166163251E-3</v>
          </cell>
          <cell r="H489">
            <v>4.1587555291667399E-4</v>
          </cell>
          <cell r="I489">
            <v>1.5708765842112538E-4</v>
          </cell>
        </row>
        <row r="490">
          <cell r="A490" t="str">
            <v>T_C-ICE-DSL-S1</v>
          </cell>
          <cell r="B490" t="str">
            <v>VAR_fin</v>
          </cell>
          <cell r="C490" t="str">
            <v>TDSL</v>
          </cell>
          <cell r="D490">
            <v>5.1454601717707124E-3</v>
          </cell>
          <cell r="E490">
            <v>6.0020650941647853E-3</v>
          </cell>
          <cell r="F490">
            <v>4.9094296976936744E-3</v>
          </cell>
          <cell r="G490">
            <v>3.7411524591322558E-3</v>
          </cell>
          <cell r="H490">
            <v>6.2229257707586787E-4</v>
          </cell>
          <cell r="I490">
            <v>2.2434819044520095E-4</v>
          </cell>
        </row>
        <row r="491">
          <cell r="A491" t="str">
            <v>T_C-ICE-DSL-S1</v>
          </cell>
          <cell r="B491" t="str">
            <v>VAR_ncap</v>
          </cell>
          <cell r="C491" t="str">
            <v>-</v>
          </cell>
          <cell r="E491">
            <v>2.9492275597972501E-5</v>
          </cell>
          <cell r="F491">
            <v>6.9421349848958205E-5</v>
          </cell>
          <cell r="G491">
            <v>2.91656775750775E-5</v>
          </cell>
          <cell r="H491">
            <v>1.820212196591E-5</v>
          </cell>
          <cell r="I491">
            <v>7.1681441011537897E-6</v>
          </cell>
        </row>
        <row r="492">
          <cell r="A492" t="str">
            <v>T_C-ICE-DSL-S1</v>
          </cell>
          <cell r="B492" t="str">
            <v>VAR_cap</v>
          </cell>
          <cell r="C492" t="str">
            <v>-</v>
          </cell>
          <cell r="D492">
            <v>4.4453680566223846E-4</v>
          </cell>
          <cell r="E492">
            <v>5.0200995586015685E-4</v>
          </cell>
          <cell r="F492">
            <v>5.6567820494384294E-4</v>
          </cell>
          <cell r="G492">
            <v>4.4120508141478406E-4</v>
          </cell>
          <cell r="H492">
            <v>5.9726606577080032E-5</v>
          </cell>
          <cell r="I492">
            <v>2.2731573964769355E-5</v>
          </cell>
        </row>
        <row r="493">
          <cell r="A493" t="str">
            <v>T_C-ICE-GSL-S3</v>
          </cell>
          <cell r="B493" t="str">
            <v>VAR_fout</v>
          </cell>
          <cell r="C493" t="str">
            <v>CO2_T</v>
          </cell>
          <cell r="D493">
            <v>278.48748025522968</v>
          </cell>
          <cell r="E493">
            <v>423.66740160461717</v>
          </cell>
          <cell r="F493">
            <v>509.17031264429573</v>
          </cell>
          <cell r="G493">
            <v>417.12454380136381</v>
          </cell>
          <cell r="H493">
            <v>8.1399297041020358</v>
          </cell>
          <cell r="I493">
            <v>0.1242600061561794</v>
          </cell>
        </row>
        <row r="494">
          <cell r="A494" t="str">
            <v>T_C-ICE-GSL-S3</v>
          </cell>
          <cell r="B494" t="str">
            <v>VAR_fout</v>
          </cell>
          <cell r="C494" t="str">
            <v>TPCAR</v>
          </cell>
          <cell r="D494">
            <v>1.9495841660202786</v>
          </cell>
          <cell r="E494">
            <v>2.9623835668092817</v>
          </cell>
          <cell r="F494">
            <v>3.5181854020297654</v>
          </cell>
          <cell r="G494">
            <v>2.8988958847918784</v>
          </cell>
          <cell r="H494">
            <v>5.3122857523284259E-2</v>
          </cell>
          <cell r="I494">
            <v>8.6728329719326972E-4</v>
          </cell>
        </row>
        <row r="495">
          <cell r="A495" t="str">
            <v>T_C-ICE-GSL-S3</v>
          </cell>
          <cell r="B495" t="str">
            <v>VAR_fin</v>
          </cell>
          <cell r="C495" t="str">
            <v>TGSL</v>
          </cell>
          <cell r="D495">
            <v>3.7735430928892959</v>
          </cell>
          <cell r="E495">
            <v>5.7407506992495625</v>
          </cell>
          <cell r="F495">
            <v>6.8993267295975107</v>
          </cell>
          <cell r="G495">
            <v>5.6520940894493741</v>
          </cell>
          <cell r="H495">
            <v>0.11029715046208725</v>
          </cell>
          <cell r="I495">
            <v>1.6837399208154383E-3</v>
          </cell>
        </row>
        <row r="496">
          <cell r="A496" t="str">
            <v>T_C-ICE-GSL-S3</v>
          </cell>
          <cell r="B496" t="str">
            <v>VAR_ncap</v>
          </cell>
          <cell r="C496" t="str">
            <v>-</v>
          </cell>
          <cell r="E496">
            <v>3.6405331398702501E-5</v>
          </cell>
          <cell r="F496">
            <v>4.1934003990380102E-2</v>
          </cell>
          <cell r="G496">
            <v>1.2131432356918001E-4</v>
          </cell>
          <cell r="H496">
            <v>4.6088742563855298E-5</v>
          </cell>
          <cell r="I496">
            <v>2.3181127540887699E-5</v>
          </cell>
        </row>
        <row r="497">
          <cell r="A497" t="str">
            <v>T_C-ICE-GSL-S3</v>
          </cell>
          <cell r="B497" t="str">
            <v>VAR_cap</v>
          </cell>
          <cell r="C497" t="str">
            <v>-</v>
          </cell>
          <cell r="D497">
            <v>0.18201165644271147</v>
          </cell>
          <cell r="E497">
            <v>0.20368974952954949</v>
          </cell>
          <cell r="F497">
            <v>0.24192928702347569</v>
          </cell>
          <cell r="G497">
            <v>0.19933448565622264</v>
          </cell>
          <cell r="H497">
            <v>3.6656442574910303E-3</v>
          </cell>
          <cell r="I497">
            <v>6.4889251563379579E-5</v>
          </cell>
        </row>
        <row r="498">
          <cell r="A498" t="str">
            <v>T_C-ICE-DSL-S2</v>
          </cell>
          <cell r="B498" t="str">
            <v>VAR_fout</v>
          </cell>
          <cell r="C498" t="str">
            <v>CO2_T</v>
          </cell>
          <cell r="D498">
            <v>89.544109355623391</v>
          </cell>
          <cell r="E498">
            <v>94.063698240346724</v>
          </cell>
          <cell r="F498">
            <v>81.485291065674446</v>
          </cell>
          <cell r="G498">
            <v>61.041246956986406</v>
          </cell>
          <cell r="H498">
            <v>8.1458652663045236E-2</v>
          </cell>
          <cell r="I498">
            <v>2.9307069370936051E-2</v>
          </cell>
        </row>
        <row r="499">
          <cell r="A499" t="str">
            <v>T_C-ICE-DSL-S2</v>
          </cell>
          <cell r="B499" t="str">
            <v>VAR_fout</v>
          </cell>
          <cell r="C499" t="str">
            <v>TPCAR</v>
          </cell>
          <cell r="D499">
            <v>0.85071162484981699</v>
          </cell>
          <cell r="E499">
            <v>0.90310409593161134</v>
          </cell>
          <cell r="F499">
            <v>0.81690947540711356</v>
          </cell>
          <cell r="G499">
            <v>0.63435728424092308</v>
          </cell>
          <cell r="H499">
            <v>5.9264970144932516E-4</v>
          </cell>
          <cell r="I499">
            <v>2.253065831380047E-4</v>
          </cell>
        </row>
        <row r="500">
          <cell r="A500" t="str">
            <v>T_C-ICE-DSL-S2</v>
          </cell>
          <cell r="B500" t="str">
            <v>VAR_fin</v>
          </cell>
          <cell r="C500" t="str">
            <v>TDSL</v>
          </cell>
          <cell r="D500">
            <v>1.2216113145378364</v>
          </cell>
          <cell r="E500">
            <v>1.2832700987768986</v>
          </cell>
          <cell r="F500">
            <v>1.1116683637881954</v>
          </cell>
          <cell r="G500">
            <v>0.83275916721672971</v>
          </cell>
          <cell r="H500">
            <v>1.1113049476540954E-3</v>
          </cell>
          <cell r="I500">
            <v>3.9982359305506176E-4</v>
          </cell>
        </row>
        <row r="501">
          <cell r="A501" t="str">
            <v>T_C-ICE-DSL-S2</v>
          </cell>
          <cell r="B501" t="str">
            <v>VAR_ncap</v>
          </cell>
          <cell r="C501" t="str">
            <v>-</v>
          </cell>
          <cell r="E501">
            <v>1.6643292418948999E-5</v>
          </cell>
          <cell r="F501">
            <v>4.3888820175450299E-5</v>
          </cell>
          <cell r="G501">
            <v>2.8577248926355902E-5</v>
          </cell>
          <cell r="H501">
            <v>1.5574678389297002E-5</v>
          </cell>
          <cell r="I501">
            <v>7.0955510066481299E-6</v>
          </cell>
        </row>
        <row r="502">
          <cell r="A502" t="str">
            <v>T_C-ICE-DSL-S2</v>
          </cell>
          <cell r="B502" t="str">
            <v>VAR_cap</v>
          </cell>
          <cell r="C502" t="str">
            <v>-</v>
          </cell>
          <cell r="D502">
            <v>6.456872267040295E-2</v>
          </cell>
          <cell r="E502">
            <v>6.8521019372631109E-2</v>
          </cell>
          <cell r="F502">
            <v>6.7943194436534821E-2</v>
          </cell>
          <cell r="G502">
            <v>5.153900911467349E-2</v>
          </cell>
          <cell r="H502">
            <v>5.3420943443665334E-5</v>
          </cell>
          <cell r="I502">
            <v>2.0927818386418964E-5</v>
          </cell>
        </row>
        <row r="503">
          <cell r="A503" t="str">
            <v>TPRLPH2OFCL</v>
          </cell>
          <cell r="B503" t="str">
            <v>VAR_fout</v>
          </cell>
          <cell r="C503" t="str">
            <v>TPRLP</v>
          </cell>
          <cell r="H503">
            <v>3.2112344531600454E-6</v>
          </cell>
          <cell r="I503">
            <v>5.5147952756583996E-6</v>
          </cell>
        </row>
        <row r="504">
          <cell r="A504" t="str">
            <v>TPRLPH2OFCL</v>
          </cell>
          <cell r="B504" t="str">
            <v>VAR_fin</v>
          </cell>
          <cell r="C504" t="str">
            <v>TH2O</v>
          </cell>
          <cell r="H504">
            <v>1.7897978205821938E-4</v>
          </cell>
          <cell r="I504">
            <v>2.8544374680141164E-4</v>
          </cell>
        </row>
        <row r="505">
          <cell r="A505" t="str">
            <v>TPRLPH2OFCL</v>
          </cell>
          <cell r="B505" t="str">
            <v>VAR_ncap</v>
          </cell>
          <cell r="C505" t="str">
            <v>-</v>
          </cell>
          <cell r="H505">
            <v>6.89512792442872E-8</v>
          </cell>
          <cell r="I505">
            <v>1.2232168508494199E-8</v>
          </cell>
        </row>
        <row r="506">
          <cell r="A506" t="str">
            <v>TPRLPH2OFCL</v>
          </cell>
          <cell r="B506" t="str">
            <v>VAR_cap</v>
          </cell>
          <cell r="C506" t="str">
            <v>-</v>
          </cell>
          <cell r="H506">
            <v>6.89512792442872E-8</v>
          </cell>
          <cell r="I506">
            <v>8.1183447752781394E-8</v>
          </cell>
        </row>
        <row r="507">
          <cell r="A507" t="str">
            <v>T_C-ICE-GSL-S4</v>
          </cell>
          <cell r="B507" t="str">
            <v>VAR_fout</v>
          </cell>
          <cell r="C507" t="str">
            <v>CO2_T</v>
          </cell>
          <cell r="D507">
            <v>287.77864207426001</v>
          </cell>
          <cell r="E507">
            <v>387.80301842263907</v>
          </cell>
          <cell r="F507">
            <v>847.55773365526932</v>
          </cell>
          <cell r="G507">
            <v>1812.2701739951217</v>
          </cell>
          <cell r="H507">
            <v>2293.6707806932754</v>
          </cell>
          <cell r="I507">
            <v>1561.3821262462391</v>
          </cell>
        </row>
        <row r="508">
          <cell r="A508" t="str">
            <v>T_C-ICE-GSL-S4</v>
          </cell>
          <cell r="B508" t="str">
            <v>VAR_fout</v>
          </cell>
          <cell r="C508" t="str">
            <v>TPCAR</v>
          </cell>
          <cell r="D508">
            <v>1.7166508918842609</v>
          </cell>
          <cell r="E508">
            <v>2.2768831732847508</v>
          </cell>
          <cell r="F508">
            <v>4.9839657657994438</v>
          </cell>
          <cell r="G508">
            <v>10.723284066075767</v>
          </cell>
          <cell r="H508">
            <v>14.963061372872694</v>
          </cell>
          <cell r="I508">
            <v>11.776274442241453</v>
          </cell>
        </row>
        <row r="509">
          <cell r="A509" t="str">
            <v>T_C-ICE-GSL-S4</v>
          </cell>
          <cell r="B509" t="str">
            <v>VAR_fin</v>
          </cell>
          <cell r="C509" t="str">
            <v>TGSL</v>
          </cell>
          <cell r="D509">
            <v>3.8994395945021672</v>
          </cell>
          <cell r="E509">
            <v>5.2547834474612394</v>
          </cell>
          <cell r="F509">
            <v>11.484522136250279</v>
          </cell>
          <cell r="G509">
            <v>24.556506422698188</v>
          </cell>
          <cell r="H509">
            <v>31.079549873892624</v>
          </cell>
          <cell r="I509">
            <v>21.156939380030323</v>
          </cell>
        </row>
        <row r="510">
          <cell r="A510" t="str">
            <v>T_C-ICE-GSL-S4</v>
          </cell>
          <cell r="B510" t="str">
            <v>VAR_ncap</v>
          </cell>
          <cell r="C510" t="str">
            <v>-</v>
          </cell>
          <cell r="E510">
            <v>2.8435591585627099E-5</v>
          </cell>
          <cell r="F510">
            <v>0.21906779687074401</v>
          </cell>
          <cell r="G510">
            <v>0.54067691776725302</v>
          </cell>
          <cell r="H510">
            <v>0.52879492463302402</v>
          </cell>
          <cell r="I510">
            <v>1.0174947869420099</v>
          </cell>
        </row>
        <row r="511">
          <cell r="A511" t="str">
            <v>T_C-ICE-GSL-S4</v>
          </cell>
          <cell r="B511" t="str">
            <v>VAR_cap</v>
          </cell>
          <cell r="C511" t="str">
            <v>-</v>
          </cell>
          <cell r="D511">
            <v>0.15707498609420348</v>
          </cell>
          <cell r="E511">
            <v>0.17929197578603187</v>
          </cell>
          <cell r="F511">
            <v>0.39254068951724225</v>
          </cell>
          <cell r="G511">
            <v>0.84441612164678637</v>
          </cell>
          <cell r="H511">
            <v>1.2899943173382951</v>
          </cell>
          <cell r="I511">
            <v>1.2991082417183404</v>
          </cell>
        </row>
        <row r="512">
          <cell r="A512" t="str">
            <v>T_C-ICE-DSL-S3</v>
          </cell>
          <cell r="B512" t="str">
            <v>VAR_fout</v>
          </cell>
          <cell r="C512" t="str">
            <v>CO2_T</v>
          </cell>
          <cell r="D512">
            <v>369.44768279746711</v>
          </cell>
          <cell r="E512">
            <v>390.46698612918613</v>
          </cell>
          <cell r="F512">
            <v>386.73365180454465</v>
          </cell>
          <cell r="G512">
            <v>295.40046371103574</v>
          </cell>
          <cell r="H512">
            <v>9.0990630504071052E-2</v>
          </cell>
          <cell r="I512">
            <v>3.8163255983227902E-2</v>
          </cell>
        </row>
        <row r="513">
          <cell r="A513" t="str">
            <v>T_C-ICE-DSL-S3</v>
          </cell>
          <cell r="B513" t="str">
            <v>VAR_fout</v>
          </cell>
          <cell r="C513" t="str">
            <v>TPCAR</v>
          </cell>
          <cell r="D513">
            <v>2.660535661492891</v>
          </cell>
          <cell r="E513">
            <v>2.8361927747186075</v>
          </cell>
          <cell r="F513">
            <v>2.8066215605098122</v>
          </cell>
          <cell r="G513">
            <v>2.1810882542169656</v>
          </cell>
          <cell r="H513">
            <v>6.1061216195138954E-4</v>
          </cell>
          <cell r="I513">
            <v>2.7561322760817332E-4</v>
          </cell>
        </row>
        <row r="514">
          <cell r="A514" t="str">
            <v>T_C-ICE-DSL-S3</v>
          </cell>
          <cell r="B514" t="str">
            <v>VAR_fin</v>
          </cell>
          <cell r="C514" t="str">
            <v>TDSL</v>
          </cell>
          <cell r="D514">
            <v>5.0402139535807366</v>
          </cell>
          <cell r="E514">
            <v>5.3269711613804507</v>
          </cell>
          <cell r="F514">
            <v>5.2760389059283117</v>
          </cell>
          <cell r="G514">
            <v>4.0300199687726499</v>
          </cell>
          <cell r="H514">
            <v>1.2413455730432635E-3</v>
          </cell>
          <cell r="I514">
            <v>5.2064469281347652E-4</v>
          </cell>
        </row>
        <row r="515">
          <cell r="A515" t="str">
            <v>T_C-ICE-DSL-S3</v>
          </cell>
          <cell r="B515" t="str">
            <v>VAR_ncap</v>
          </cell>
          <cell r="C515" t="str">
            <v>-</v>
          </cell>
          <cell r="E515">
            <v>1.6749464902653099E-5</v>
          </cell>
          <cell r="F515">
            <v>2.87306367742198E-5</v>
          </cell>
          <cell r="G515">
            <v>2.1494808444835302E-5</v>
          </cell>
          <cell r="H515">
            <v>1.51948975247941E-5</v>
          </cell>
          <cell r="I515">
            <v>8.5214896980300698E-6</v>
          </cell>
        </row>
        <row r="516">
          <cell r="A516" t="str">
            <v>T_C-ICE-DSL-S3</v>
          </cell>
          <cell r="B516" t="str">
            <v>VAR_cap</v>
          </cell>
          <cell r="C516" t="str">
            <v>-</v>
          </cell>
          <cell r="D516">
            <v>0.18324065859782301</v>
          </cell>
          <cell r="E516">
            <v>0.19501297489997299</v>
          </cell>
          <cell r="F516">
            <v>0.19300658716708124</v>
          </cell>
          <cell r="G516">
            <v>0.14997753158019514</v>
          </cell>
          <cell r="H516">
            <v>4.5725416765580699E-5</v>
          </cell>
          <cell r="I516">
            <v>2.0969287833075E-5</v>
          </cell>
        </row>
        <row r="517">
          <cell r="A517" t="str">
            <v>T_C-ICE-DSL-S4</v>
          </cell>
          <cell r="B517" t="str">
            <v>VAR_fout</v>
          </cell>
          <cell r="C517" t="str">
            <v>CO2_T</v>
          </cell>
          <cell r="D517">
            <v>141.92288801157261</v>
          </cell>
          <cell r="E517">
            <v>162.04932326043172</v>
          </cell>
          <cell r="F517">
            <v>158.8994571950702</v>
          </cell>
          <cell r="G517">
            <v>122.67031173057153</v>
          </cell>
          <cell r="H517">
            <v>5.3430016024451923E-2</v>
          </cell>
          <cell r="I517">
            <v>2.525476385452995E-2</v>
          </cell>
        </row>
        <row r="518">
          <cell r="A518" t="str">
            <v>T_C-ICE-DSL-S4</v>
          </cell>
          <cell r="B518" t="str">
            <v>VAR_fout</v>
          </cell>
          <cell r="C518" t="str">
            <v>TPCAR</v>
          </cell>
          <cell r="D518">
            <v>0.90237136868697498</v>
          </cell>
          <cell r="E518">
            <v>1.0075531227083527</v>
          </cell>
          <cell r="F518">
            <v>0.99046502545681303</v>
          </cell>
          <cell r="G518">
            <v>0.77517647769981057</v>
          </cell>
          <cell r="H518">
            <v>3.3626818693103562E-4</v>
          </cell>
          <cell r="I518">
            <v>1.7282804682994672E-4</v>
          </cell>
        </row>
        <row r="519">
          <cell r="A519" t="str">
            <v>T_C-ICE-DSL-S4</v>
          </cell>
          <cell r="B519" t="str">
            <v>VAR_fin</v>
          </cell>
          <cell r="C519" t="str">
            <v>TDSL</v>
          </cell>
          <cell r="D519">
            <v>1.93619219661081</v>
          </cell>
          <cell r="E519">
            <v>2.2107683937303122</v>
          </cell>
          <cell r="F519">
            <v>2.1677961418154221</v>
          </cell>
          <cell r="G519">
            <v>1.6735376770882884</v>
          </cell>
          <cell r="H519">
            <v>7.2892245599525003E-4</v>
          </cell>
          <cell r="I519">
            <v>3.4453975244924868E-4</v>
          </cell>
        </row>
        <row r="520">
          <cell r="A520" t="str">
            <v>T_C-ICE-DSL-S4</v>
          </cell>
          <cell r="B520" t="str">
            <v>VAR_ncap</v>
          </cell>
          <cell r="C520" t="str">
            <v>-</v>
          </cell>
          <cell r="E520">
            <v>6.68645199558563E-6</v>
          </cell>
          <cell r="F520">
            <v>1.34502605482123E-5</v>
          </cell>
          <cell r="G520">
            <v>1.25934773756756E-5</v>
          </cell>
          <cell r="H520">
            <v>1.12096506061899E-5</v>
          </cell>
          <cell r="I520">
            <v>7.00346900778019E-6</v>
          </cell>
        </row>
        <row r="521">
          <cell r="A521" t="str">
            <v>T_C-ICE-DSL-S4</v>
          </cell>
          <cell r="B521" t="str">
            <v>VAR_cap</v>
          </cell>
          <cell r="C521" t="str">
            <v>-</v>
          </cell>
          <cell r="D521">
            <v>7.1261613035363366E-2</v>
          </cell>
          <cell r="E521">
            <v>7.9344018455557316E-2</v>
          </cell>
          <cell r="F521">
            <v>7.8221152945584363E-2</v>
          </cell>
          <cell r="G521">
            <v>6.1078606277579633E-2</v>
          </cell>
          <cell r="H521">
            <v>3.0398325433592569E-5</v>
          </cell>
          <cell r="I521">
            <v>1.5660177965630601E-5</v>
          </cell>
        </row>
        <row r="522">
          <cell r="A522" t="str">
            <v>TFLGV-ICENGAExt</v>
          </cell>
          <cell r="B522" t="str">
            <v>VAR_fout</v>
          </cell>
          <cell r="C522" t="str">
            <v>CO2_T</v>
          </cell>
          <cell r="D522">
            <v>6.0483802653697101</v>
          </cell>
          <cell r="E522">
            <v>1.8283320809204899</v>
          </cell>
          <cell r="F522">
            <v>3.9511358167093298</v>
          </cell>
          <cell r="G522">
            <v>2.6788630873784899E-3</v>
          </cell>
        </row>
        <row r="523">
          <cell r="A523" t="str">
            <v>TFLGV-ICENGAExt</v>
          </cell>
          <cell r="B523" t="str">
            <v>VAR_fout</v>
          </cell>
          <cell r="C523" t="str">
            <v>TFLGV</v>
          </cell>
          <cell r="D523">
            <v>2.9768246248491999E-2</v>
          </cell>
          <cell r="E523">
            <v>9.0823479022598755E-3</v>
          </cell>
          <cell r="F523">
            <v>1.9899360812369669E-2</v>
          </cell>
          <cell r="G523">
            <v>1.3491731394614496E-5</v>
          </cell>
        </row>
        <row r="524">
          <cell r="A524" t="str">
            <v>TFLGV-ICENGAExt</v>
          </cell>
          <cell r="B524" t="str">
            <v>VAR_fin</v>
          </cell>
          <cell r="C524" t="str">
            <v>TNGA</v>
          </cell>
          <cell r="D524">
            <v>0.10724078484698089</v>
          </cell>
          <cell r="E524">
            <v>3.2417235477313712E-2</v>
          </cell>
          <cell r="F524">
            <v>7.0055599587044867E-2</v>
          </cell>
          <cell r="G524">
            <v>4.7497572471249722E-5</v>
          </cell>
        </row>
        <row r="525">
          <cell r="A525" t="str">
            <v>TFLGV-ICENGAExt</v>
          </cell>
          <cell r="B525" t="str">
            <v>VAR_cap</v>
          </cell>
          <cell r="C525" t="str">
            <v>-</v>
          </cell>
          <cell r="D525">
            <v>2.085E-3</v>
          </cell>
          <cell r="E525">
            <v>1.807E-3</v>
          </cell>
          <cell r="F525">
            <v>1.39E-3</v>
          </cell>
          <cell r="G525">
            <v>8.3762522083794411E-7</v>
          </cell>
        </row>
        <row r="526">
          <cell r="A526" t="str">
            <v>D-TGSL</v>
          </cell>
          <cell r="B526" t="str">
            <v>VAR_fout</v>
          </cell>
          <cell r="C526" t="str">
            <v>CO2</v>
          </cell>
          <cell r="D526">
            <v>5894.9936043378602</v>
          </cell>
          <cell r="E526">
            <v>5602.5266142349701</v>
          </cell>
          <cell r="F526">
            <v>5328.3336987614302</v>
          </cell>
          <cell r="G526">
            <v>4106.9020453692501</v>
          </cell>
          <cell r="H526">
            <v>2794.3474737003098</v>
          </cell>
          <cell r="I526">
            <v>2079.6461514724901</v>
          </cell>
        </row>
        <row r="527">
          <cell r="A527" t="str">
            <v>D-TGSL</v>
          </cell>
          <cell r="B527" t="str">
            <v>VAR_fout</v>
          </cell>
          <cell r="C527" t="str">
            <v>TGSL</v>
          </cell>
          <cell r="D527">
            <v>83.261901033120608</v>
          </cell>
          <cell r="E527">
            <v>79.131374719387992</v>
          </cell>
          <cell r="F527">
            <v>75.258310103809208</v>
          </cell>
          <cell r="G527">
            <v>58.008431756722395</v>
          </cell>
          <cell r="H527">
            <v>39.468387157379645</v>
          </cell>
          <cell r="I527">
            <v>29.373781163895369</v>
          </cell>
        </row>
        <row r="528">
          <cell r="A528" t="str">
            <v>D-TGSL</v>
          </cell>
          <cell r="B528" t="str">
            <v>VAR_fin</v>
          </cell>
          <cell r="C528" t="str">
            <v>GSL</v>
          </cell>
          <cell r="D528">
            <v>79.877962118399239</v>
          </cell>
          <cell r="E528">
            <v>75.914994772831548</v>
          </cell>
          <cell r="F528">
            <v>72.199643614653553</v>
          </cell>
          <cell r="G528">
            <v>55.649079205545391</v>
          </cell>
          <cell r="H528">
            <v>37.863786906508274</v>
          </cell>
          <cell r="I528">
            <v>28.179487147323755</v>
          </cell>
        </row>
        <row r="529">
          <cell r="A529" t="str">
            <v>D-TGSL</v>
          </cell>
          <cell r="B529" t="str">
            <v>VAR_fin</v>
          </cell>
          <cell r="C529" t="str">
            <v>ETH</v>
          </cell>
          <cell r="D529">
            <v>4.6258154292758906</v>
          </cell>
          <cell r="E529">
            <v>4.3966482636433781</v>
          </cell>
          <cell r="F529">
            <v>4.1811668795256534</v>
          </cell>
          <cell r="G529">
            <v>3.2245676033647275</v>
          </cell>
          <cell r="H529">
            <v>2.1932831475551224</v>
          </cell>
          <cell r="I529">
            <v>1.6324125886891292</v>
          </cell>
        </row>
        <row r="530">
          <cell r="A530" t="str">
            <v>T_TW-BEVELC-S1</v>
          </cell>
          <cell r="B530" t="str">
            <v>VAR_fout</v>
          </cell>
          <cell r="C530" t="str">
            <v>TPTWL</v>
          </cell>
          <cell r="D530">
            <v>1.7324154593775103E-2</v>
          </cell>
          <cell r="E530">
            <v>2.3789600907635676E-2</v>
          </cell>
          <cell r="F530">
            <v>2.4291233778880109E-2</v>
          </cell>
          <cell r="G530">
            <v>1.697578943683397E-2</v>
          </cell>
          <cell r="H530">
            <v>3.6949608237289685E-3</v>
          </cell>
          <cell r="I530">
            <v>2.202304203665296E-3</v>
          </cell>
        </row>
        <row r="531">
          <cell r="A531" t="str">
            <v>T_TW-BEVELC-S1</v>
          </cell>
          <cell r="B531" t="str">
            <v>VAR_fin</v>
          </cell>
          <cell r="C531" t="str">
            <v>T-ELC-TWSTGout_S1</v>
          </cell>
          <cell r="D531">
            <v>1.5608855319410888E-3</v>
          </cell>
          <cell r="E531">
            <v>2.1418187652016006E-3</v>
          </cell>
          <cell r="F531">
            <v>2.1863639348735802E-3</v>
          </cell>
          <cell r="G531">
            <v>1.5257820684266249E-3</v>
          </cell>
          <cell r="H531">
            <v>3.1987525433782045E-4</v>
          </cell>
          <cell r="I531">
            <v>1.8709778191881117E-4</v>
          </cell>
        </row>
        <row r="532">
          <cell r="A532" t="str">
            <v>T_TW-BEVELC-S1</v>
          </cell>
          <cell r="B532" t="str">
            <v>VAR_ncap</v>
          </cell>
          <cell r="C532" t="str">
            <v>-</v>
          </cell>
          <cell r="D532">
            <v>7.5862348733569596E-5</v>
          </cell>
          <cell r="E532">
            <v>2.16377292851973E-4</v>
          </cell>
          <cell r="F532">
            <v>2.10039671543864E-4</v>
          </cell>
          <cell r="G532">
            <v>2.7531251771234603E-4</v>
          </cell>
          <cell r="H532">
            <v>4.1271220859798597E-4</v>
          </cell>
          <cell r="I532">
            <v>4.5060370315373402E-4</v>
          </cell>
        </row>
        <row r="533">
          <cell r="A533" t="str">
            <v>T_TW-BEVELC-S1</v>
          </cell>
          <cell r="B533" t="str">
            <v>VAR_cap</v>
          </cell>
          <cell r="C533" t="str">
            <v>-</v>
          </cell>
          <cell r="D533">
            <v>6.0165459146648125E-3</v>
          </cell>
          <cell r="E533">
            <v>8.1868435039382011E-3</v>
          </cell>
          <cell r="F533">
            <v>8.3967443871934763E-3</v>
          </cell>
          <cell r="G533">
            <v>5.9241213771214626E-3</v>
          </cell>
          <cell r="H533">
            <v>1.336882388546139E-3</v>
          </cell>
          <cell r="I533">
            <v>8.1114024428026389E-4</v>
          </cell>
        </row>
        <row r="534">
          <cell r="A534" t="str">
            <v>T_TW-BEVELC-S2</v>
          </cell>
          <cell r="B534" t="str">
            <v>VAR_fout</v>
          </cell>
          <cell r="C534" t="str">
            <v>TPTWL</v>
          </cell>
          <cell r="D534">
            <v>2.2272683015053508E-3</v>
          </cell>
          <cell r="E534">
            <v>2.9384917206692189E-3</v>
          </cell>
          <cell r="F534">
            <v>3.0874075373280695E-3</v>
          </cell>
          <cell r="G534">
            <v>2.779815439590343E-3</v>
          </cell>
          <cell r="H534">
            <v>9.9053883241816674E-4</v>
          </cell>
          <cell r="I534">
            <v>6.4165993088022017E-4</v>
          </cell>
        </row>
        <row r="535">
          <cell r="A535" t="str">
            <v>T_TW-BEVELC-S2</v>
          </cell>
          <cell r="B535" t="str">
            <v>VAR_fin</v>
          </cell>
          <cell r="C535" t="str">
            <v>T-ELC-TWSTGout_S2</v>
          </cell>
          <cell r="D535">
            <v>3.5440522987563379E-4</v>
          </cell>
          <cell r="E535">
            <v>4.6723834225837667E-4</v>
          </cell>
          <cell r="F535">
            <v>4.9047123447803435E-4</v>
          </cell>
          <cell r="G535">
            <v>4.4058748039395795E-4</v>
          </cell>
          <cell r="H535">
            <v>1.515237535020325E-4</v>
          </cell>
          <cell r="I535">
            <v>9.6738886889760669E-5</v>
          </cell>
        </row>
        <row r="536">
          <cell r="A536" t="str">
            <v>T_TW-BEVELC-S2</v>
          </cell>
          <cell r="B536" t="str">
            <v>VAR_ncap</v>
          </cell>
          <cell r="C536" t="str">
            <v>-</v>
          </cell>
          <cell r="D536">
            <v>2.8754323961617599E-5</v>
          </cell>
          <cell r="E536">
            <v>8.2243818654866396E-5</v>
          </cell>
          <cell r="F536">
            <v>8.4915956224437206E-5</v>
          </cell>
          <cell r="G536">
            <v>8.9100808372530993E-5</v>
          </cell>
          <cell r="H536">
            <v>1.17936583027665E-4</v>
          </cell>
          <cell r="I536">
            <v>9.5704165872394301E-5</v>
          </cell>
        </row>
        <row r="537">
          <cell r="A537" t="str">
            <v>T_TW-BEVELC-S2</v>
          </cell>
          <cell r="B537" t="str">
            <v>VAR_cap</v>
          </cell>
          <cell r="C537" t="str">
            <v>-</v>
          </cell>
          <cell r="D537">
            <v>8.1355102109501444E-4</v>
          </cell>
          <cell r="E537">
            <v>1.0136986713365473E-3</v>
          </cell>
          <cell r="F537">
            <v>1.0986075856471789E-3</v>
          </cell>
          <cell r="G537">
            <v>1.0227562837903696E-3</v>
          </cell>
          <cell r="H537">
            <v>3.7481048831532979E-4</v>
          </cell>
          <cell r="I537">
            <v>2.4482563485961746E-4</v>
          </cell>
        </row>
        <row r="538">
          <cell r="A538" t="str">
            <v>TFRLFH2OFCL</v>
          </cell>
          <cell r="B538" t="str">
            <v>VAR_fout</v>
          </cell>
          <cell r="C538" t="str">
            <v>TFRLF</v>
          </cell>
          <cell r="H538">
            <v>3.5364938673835432E-7</v>
          </cell>
          <cell r="I538">
            <v>3.6410628915188622E-7</v>
          </cell>
        </row>
        <row r="539">
          <cell r="A539" t="str">
            <v>TFRLFH2OFCL</v>
          </cell>
          <cell r="B539" t="str">
            <v>VAR_fin</v>
          </cell>
          <cell r="C539" t="str">
            <v>TH2O</v>
          </cell>
          <cell r="H539">
            <v>4.8465882167806927E-5</v>
          </cell>
          <cell r="I539">
            <v>6.1358301991028001E-5</v>
          </cell>
        </row>
        <row r="540">
          <cell r="A540" t="str">
            <v>TFRLFH2OFCL</v>
          </cell>
          <cell r="B540" t="str">
            <v>VAR_ncap</v>
          </cell>
          <cell r="C540" t="str">
            <v>-</v>
          </cell>
          <cell r="H540">
            <v>1.3249432546125E-7</v>
          </cell>
        </row>
        <row r="541">
          <cell r="A541" t="str">
            <v>TFRLFH2OFCL</v>
          </cell>
          <cell r="B541" t="str">
            <v>VAR_cap</v>
          </cell>
          <cell r="C541" t="str">
            <v>-</v>
          </cell>
          <cell r="H541">
            <v>1.3249432546125E-7</v>
          </cell>
          <cell r="I541">
            <v>1.3249432546125E-7</v>
          </cell>
        </row>
        <row r="542">
          <cell r="A542" t="str">
            <v>T_TW-BEVELC-S3</v>
          </cell>
          <cell r="B542" t="str">
            <v>VAR_fout</v>
          </cell>
          <cell r="C542" t="str">
            <v>TPTWL</v>
          </cell>
          <cell r="D542">
            <v>3.3805266967379963E-4</v>
          </cell>
          <cell r="E542">
            <v>6.4150252748769617E-4</v>
          </cell>
          <cell r="F542">
            <v>7.493917042327218E-4</v>
          </cell>
          <cell r="G542">
            <v>8.4165755619306068E-4</v>
          </cell>
          <cell r="H542">
            <v>7.3411263666907844E-4</v>
          </cell>
          <cell r="I542">
            <v>3.6119125209073421E-4</v>
          </cell>
        </row>
        <row r="543">
          <cell r="A543" t="str">
            <v>T_TW-BEVELC-S3</v>
          </cell>
          <cell r="B543" t="str">
            <v>VAR_fin</v>
          </cell>
          <cell r="C543" t="str">
            <v>T-ELC-TWSTGout_S3</v>
          </cell>
          <cell r="D543">
            <v>8.2650569201033207E-5</v>
          </cell>
          <cell r="E543">
            <v>1.5652995620338294E-4</v>
          </cell>
          <cell r="F543">
            <v>1.8244999160155087E-4</v>
          </cell>
          <cell r="G543">
            <v>2.0415686863010877E-4</v>
          </cell>
          <cell r="H543">
            <v>1.7494890496622727E-4</v>
          </cell>
          <cell r="I543">
            <v>8.3415836651399785E-5</v>
          </cell>
        </row>
        <row r="544">
          <cell r="A544" t="str">
            <v>T_TW-BEVELC-S3</v>
          </cell>
          <cell r="B544" t="str">
            <v>VAR_ncap</v>
          </cell>
          <cell r="C544" t="str">
            <v>-</v>
          </cell>
          <cell r="D544">
            <v>1.7064642258888401E-5</v>
          </cell>
          <cell r="E544">
            <v>4.5118308637740498E-5</v>
          </cell>
          <cell r="F544">
            <v>4.5874220788298697E-5</v>
          </cell>
          <cell r="G544">
            <v>4.47911955154113E-5</v>
          </cell>
          <cell r="H544">
            <v>4.42533584996796E-5</v>
          </cell>
          <cell r="I544">
            <v>3.7773226879221199E-5</v>
          </cell>
        </row>
        <row r="545">
          <cell r="A545" t="str">
            <v>T_TW-BEVELC-S3</v>
          </cell>
          <cell r="B545" t="str">
            <v>VAR_cap</v>
          </cell>
          <cell r="C545" t="str">
            <v>-</v>
          </cell>
          <cell r="D545">
            <v>1.2402552103570738E-4</v>
          </cell>
          <cell r="E545">
            <v>2.2400543027521969E-4</v>
          </cell>
          <cell r="F545">
            <v>2.6990210411597466E-4</v>
          </cell>
          <cell r="G545">
            <v>3.1463014883568167E-4</v>
          </cell>
          <cell r="H545">
            <v>2.799805586256215E-4</v>
          </cell>
          <cell r="I545">
            <v>1.3790661724385572E-4</v>
          </cell>
        </row>
        <row r="546">
          <cell r="A546" t="str">
            <v>T_TW-BEVELC-S4</v>
          </cell>
          <cell r="B546" t="str">
            <v>VAR_fout</v>
          </cell>
          <cell r="C546" t="str">
            <v>TPTWL</v>
          </cell>
          <cell r="D546">
            <v>2.0505717850291679E-4</v>
          </cell>
          <cell r="E546">
            <v>4.039904676953273E-4</v>
          </cell>
          <cell r="F546">
            <v>5.4221636047626189E-4</v>
          </cell>
          <cell r="G546">
            <v>6.3249473373659226E-4</v>
          </cell>
          <cell r="H546">
            <v>9.1767736768173899E-4</v>
          </cell>
          <cell r="I546">
            <v>5.6971204673275948E-4</v>
          </cell>
        </row>
        <row r="547">
          <cell r="A547" t="str">
            <v>T_TW-BEVELC-S4</v>
          </cell>
          <cell r="B547" t="str">
            <v>VAR_fin</v>
          </cell>
          <cell r="C547" t="str">
            <v>T-ELC-TWSTGout_S4</v>
          </cell>
          <cell r="D547">
            <v>5.44632843679297E-5</v>
          </cell>
          <cell r="E547">
            <v>1.0699689716409257E-4</v>
          </cell>
          <cell r="F547">
            <v>1.4305787130684802E-4</v>
          </cell>
          <cell r="G547">
            <v>1.660894043290378E-4</v>
          </cell>
          <cell r="H547">
            <v>2.3768196253837176E-4</v>
          </cell>
          <cell r="I547">
            <v>1.4392712334493463E-4</v>
          </cell>
        </row>
        <row r="548">
          <cell r="A548" t="str">
            <v>T_TW-BEVELC-S4</v>
          </cell>
          <cell r="B548" t="str">
            <v>VAR_ncap</v>
          </cell>
          <cell r="C548" t="str">
            <v>-</v>
          </cell>
          <cell r="D548">
            <v>6.1456426183420805E-5</v>
          </cell>
          <cell r="E548">
            <v>5.1841395611916599E-5</v>
          </cell>
          <cell r="F548">
            <v>5.3479193190192197E-5</v>
          </cell>
          <cell r="G548">
            <v>4.2271917223774101E-5</v>
          </cell>
          <cell r="H548">
            <v>5.1583943431684301E-5</v>
          </cell>
          <cell r="I548">
            <v>3.7926916527173501E-5</v>
          </cell>
        </row>
        <row r="549">
          <cell r="A549" t="str">
            <v>T_TW-BEVELC-S4</v>
          </cell>
          <cell r="B549" t="str">
            <v>VAR_cap</v>
          </cell>
          <cell r="C549" t="str">
            <v>-</v>
          </cell>
          <cell r="D549">
            <v>7.4456426183420809E-5</v>
          </cell>
          <cell r="E549">
            <v>1.4020081985358023E-4</v>
          </cell>
          <cell r="F549">
            <v>1.9369251453634238E-4</v>
          </cell>
          <cell r="G549">
            <v>2.3583593684950785E-4</v>
          </cell>
          <cell r="H549">
            <v>3.4772042839117245E-4</v>
          </cell>
          <cell r="I549">
            <v>2.1834760268274594E-4</v>
          </cell>
        </row>
        <row r="550">
          <cell r="A550" t="str">
            <v>T_B_u-BeVELCEXT</v>
          </cell>
          <cell r="B550" t="str">
            <v>VAR_fout</v>
          </cell>
          <cell r="C550" t="str">
            <v>TPBSu</v>
          </cell>
          <cell r="D550">
            <v>1.9919245142631103E-3</v>
          </cell>
          <cell r="E550">
            <v>1.6110727773497857E-3</v>
          </cell>
          <cell r="F550">
            <v>1.0051362089506472E-3</v>
          </cell>
        </row>
        <row r="551">
          <cell r="A551" t="str">
            <v>T_B_u-BeVELCEXT</v>
          </cell>
          <cell r="B551" t="str">
            <v>VAR_fin</v>
          </cell>
          <cell r="C551" t="str">
            <v>TELC</v>
          </cell>
          <cell r="D551">
            <v>4.7533110079614661E-4</v>
          </cell>
          <cell r="E551">
            <v>4.7753165690107814E-4</v>
          </cell>
          <cell r="F551">
            <v>4.6783802908497823E-4</v>
          </cell>
        </row>
        <row r="552">
          <cell r="A552" t="str">
            <v>T_B_u-BeVELCEXT</v>
          </cell>
          <cell r="B552" t="str">
            <v>VAR_cap</v>
          </cell>
          <cell r="C552" t="str">
            <v>-</v>
          </cell>
          <cell r="D552">
            <v>3.77895550061805E-5</v>
          </cell>
          <cell r="E552">
            <v>3.02316440049444E-5</v>
          </cell>
          <cell r="F552">
            <v>1.8894777503090199E-5</v>
          </cell>
        </row>
        <row r="553">
          <cell r="A553" t="str">
            <v>T_B_u-HYBDSL-S1</v>
          </cell>
          <cell r="B553" t="str">
            <v>VAR_fout</v>
          </cell>
          <cell r="C553" t="str">
            <v>CO2_T</v>
          </cell>
          <cell r="E553">
            <v>0.30903190001408798</v>
          </cell>
          <cell r="F553">
            <v>0.33859335498811433</v>
          </cell>
          <cell r="G553">
            <v>2.0862007870336242E-2</v>
          </cell>
          <cell r="H553">
            <v>5.7857241915263175E-2</v>
          </cell>
          <cell r="I553">
            <v>4.1698715545779259E-2</v>
          </cell>
        </row>
        <row r="554">
          <cell r="A554" t="str">
            <v>T_B_u-HYBDSL-S1</v>
          </cell>
          <cell r="B554" t="str">
            <v>VAR_fout</v>
          </cell>
          <cell r="C554" t="str">
            <v>TPBSu</v>
          </cell>
          <cell r="E554">
            <v>6.8515576252606715E-4</v>
          </cell>
          <cell r="F554">
            <v>7.540807970892586E-4</v>
          </cell>
          <cell r="G554">
            <v>4.995902299531255E-5</v>
          </cell>
          <cell r="H554">
            <v>1.562824558726596E-4</v>
          </cell>
          <cell r="I554">
            <v>1.2256192583736091E-4</v>
          </cell>
        </row>
        <row r="555">
          <cell r="A555" t="str">
            <v>T_B_u-HYBDSL-S1</v>
          </cell>
          <cell r="B555" t="str">
            <v>VAR_fin</v>
          </cell>
          <cell r="C555" t="str">
            <v>TDSL</v>
          </cell>
          <cell r="E555">
            <v>4.2159877218838739E-3</v>
          </cell>
          <cell r="F555">
            <v>4.6192817870138337E-3</v>
          </cell>
          <cell r="G555">
            <v>2.8461129427470984E-4</v>
          </cell>
          <cell r="H555">
            <v>7.8932117210454508E-4</v>
          </cell>
          <cell r="I555">
            <v>5.688774290010804E-4</v>
          </cell>
        </row>
        <row r="556">
          <cell r="A556" t="str">
            <v>T_B_u-HYBDSL-S1</v>
          </cell>
          <cell r="B556" t="str">
            <v>VAR_ncap</v>
          </cell>
          <cell r="C556" t="str">
            <v>-</v>
          </cell>
          <cell r="E556">
            <v>1.30419339014768E-5</v>
          </cell>
          <cell r="F556">
            <v>1.4252268747738499E-6</v>
          </cell>
          <cell r="G556">
            <v>5.1862104322306697E-7</v>
          </cell>
          <cell r="H556">
            <v>1.2610880553228001E-6</v>
          </cell>
          <cell r="I556">
            <v>1.65575880004622E-6</v>
          </cell>
        </row>
        <row r="557">
          <cell r="A557" t="str">
            <v>T_B_u-HYBDSL-S1</v>
          </cell>
          <cell r="B557" t="str">
            <v>VAR_cap</v>
          </cell>
          <cell r="C557" t="str">
            <v>-</v>
          </cell>
          <cell r="E557">
            <v>1.30419339014768E-5</v>
          </cell>
          <cell r="F557">
            <v>1.44671607762506E-5</v>
          </cell>
          <cell r="G557">
            <v>1.0772803719818991E-6</v>
          </cell>
          <cell r="H557">
            <v>3.2811039412704877E-6</v>
          </cell>
          <cell r="I557">
            <v>2.6326600750495314E-6</v>
          </cell>
        </row>
        <row r="558">
          <cell r="A558" t="str">
            <v>T_B_u-HYBDSL-S2</v>
          </cell>
          <cell r="B558" t="str">
            <v>VAR_fout</v>
          </cell>
          <cell r="C558" t="str">
            <v>CO2_T</v>
          </cell>
          <cell r="E558">
            <v>3.2851972803969398E-2</v>
          </cell>
          <cell r="F558">
            <v>5.1462690113797796E-2</v>
          </cell>
          <cell r="G558">
            <v>3.4585070990339167E-2</v>
          </cell>
          <cell r="H558">
            <v>5.5942081610999422E-2</v>
          </cell>
          <cell r="I558">
            <v>3.693540742156378E-2</v>
          </cell>
        </row>
        <row r="559">
          <cell r="A559" t="str">
            <v>T_B_u-HYBDSL-S2</v>
          </cell>
          <cell r="B559" t="str">
            <v>VAR_fout</v>
          </cell>
          <cell r="C559" t="str">
            <v>TPBSu</v>
          </cell>
          <cell r="E559">
            <v>5.2210853524393683E-5</v>
          </cell>
          <cell r="F559">
            <v>8.3236547251854063E-5</v>
          </cell>
          <cell r="G559">
            <v>5.8799246333660336E-5</v>
          </cell>
          <cell r="H559">
            <v>1.0830170656150735E-4</v>
          </cell>
          <cell r="I559">
            <v>7.739626270716413E-5</v>
          </cell>
        </row>
        <row r="560">
          <cell r="A560" t="str">
            <v>T_B_u-HYBDSL-S2</v>
          </cell>
          <cell r="B560" t="str">
            <v>VAR_fin</v>
          </cell>
          <cell r="C560" t="str">
            <v>TDSL</v>
          </cell>
          <cell r="E560">
            <v>4.4818516785769951E-4</v>
          </cell>
          <cell r="F560">
            <v>7.0208308477213944E-4</v>
          </cell>
          <cell r="G560">
            <v>4.7182907217379412E-4</v>
          </cell>
          <cell r="H560">
            <v>7.6319347354705694E-4</v>
          </cell>
          <cell r="I560">
            <v>5.0389368924370806E-4</v>
          </cell>
        </row>
        <row r="561">
          <cell r="A561" t="str">
            <v>T_B_u-HYBDSL-S2</v>
          </cell>
          <cell r="B561" t="str">
            <v>VAR_ncap</v>
          </cell>
          <cell r="C561" t="str">
            <v>-</v>
          </cell>
          <cell r="E561">
            <v>1.0125141485997399E-6</v>
          </cell>
          <cell r="F561">
            <v>5.7667191031989997E-7</v>
          </cell>
          <cell r="G561">
            <v>4.04771312235142E-7</v>
          </cell>
          <cell r="H561">
            <v>8.2406446190275196E-7</v>
          </cell>
          <cell r="I561">
            <v>8.6534398702591402E-7</v>
          </cell>
        </row>
        <row r="562">
          <cell r="A562" t="str">
            <v>T_B_u-HYBDSL-S2</v>
          </cell>
          <cell r="B562" t="str">
            <v>VAR_cap</v>
          </cell>
          <cell r="C562" t="str">
            <v>-</v>
          </cell>
          <cell r="E562">
            <v>1.0125141485997399E-6</v>
          </cell>
          <cell r="F562">
            <v>1.58918605891964E-6</v>
          </cell>
          <cell r="G562">
            <v>1.110400428615231E-6</v>
          </cell>
          <cell r="H562">
            <v>2.1126056814807599E-6</v>
          </cell>
          <cell r="I562">
            <v>1.4921595553633001E-6</v>
          </cell>
        </row>
        <row r="563">
          <cell r="A563" t="str">
            <v>T_B_u-HYBDSL-S3</v>
          </cell>
          <cell r="B563" t="str">
            <v>VAR_fout</v>
          </cell>
          <cell r="C563" t="str">
            <v>CO2_T</v>
          </cell>
          <cell r="E563">
            <v>3.1604098054601399</v>
          </cell>
          <cell r="F563">
            <v>42.53674172060672</v>
          </cell>
          <cell r="G563">
            <v>71.128973611532103</v>
          </cell>
          <cell r="H563">
            <v>85.912952484752111</v>
          </cell>
          <cell r="I563">
            <v>102.3625097629287</v>
          </cell>
        </row>
        <row r="564">
          <cell r="A564" t="str">
            <v>T_B_u-HYBDSL-S3</v>
          </cell>
          <cell r="B564" t="str">
            <v>VAR_fout</v>
          </cell>
          <cell r="C564" t="str">
            <v>TPBSu</v>
          </cell>
          <cell r="E564">
            <v>3.3732234443332905E-3</v>
          </cell>
          <cell r="F564">
            <v>4.7532061029725015E-2</v>
          </cell>
          <cell r="G564">
            <v>8.2361683436514954E-2</v>
          </cell>
          <cell r="H564">
            <v>0.11207564878104188</v>
          </cell>
          <cell r="I564">
            <v>0.15024364629927978</v>
          </cell>
        </row>
        <row r="565">
          <cell r="A565" t="str">
            <v>T_B_u-HYBDSL-S3</v>
          </cell>
          <cell r="B565" t="str">
            <v>VAR_fin</v>
          </cell>
          <cell r="C565" t="str">
            <v>TDSL</v>
          </cell>
          <cell r="E565">
            <v>4.3116095572444051E-2</v>
          </cell>
          <cell r="F565">
            <v>0.5803102553970898</v>
          </cell>
          <cell r="G565">
            <v>0.97038163180807901</v>
          </cell>
          <cell r="H565">
            <v>1.1720730216200834</v>
          </cell>
          <cell r="I565">
            <v>1.3964871727548243</v>
          </cell>
        </row>
        <row r="566">
          <cell r="A566" t="str">
            <v>T_B_u-HYBDSL-S3</v>
          </cell>
          <cell r="B566" t="str">
            <v>VAR_ncap</v>
          </cell>
          <cell r="C566" t="str">
            <v>-</v>
          </cell>
          <cell r="E566">
            <v>6.3621919994936996E-5</v>
          </cell>
          <cell r="F566">
            <v>8.3274635836602803E-4</v>
          </cell>
          <cell r="G566">
            <v>6.8268615888153396E-4</v>
          </cell>
          <cell r="H566">
            <v>8.13507125339632E-4</v>
          </cell>
          <cell r="I566">
            <v>2.5546025357895902E-3</v>
          </cell>
        </row>
        <row r="567">
          <cell r="A567" t="str">
            <v>T_B_u-HYBDSL-S3</v>
          </cell>
          <cell r="B567" t="str">
            <v>VAR_cap</v>
          </cell>
          <cell r="C567" t="str">
            <v>-</v>
          </cell>
          <cell r="E567">
            <v>6.3621919994936996E-5</v>
          </cell>
          <cell r="F567">
            <v>8.9636827836096496E-4</v>
          </cell>
          <cell r="G567">
            <v>1.5531281068879299E-3</v>
          </cell>
          <cell r="H567">
            <v>2.1135046002381799E-3</v>
          </cell>
          <cell r="I567">
            <v>2.83324601059633E-3</v>
          </cell>
        </row>
        <row r="568">
          <cell r="A568" t="str">
            <v>T_C-HY-GSL-S1</v>
          </cell>
          <cell r="B568" t="str">
            <v>VAR_fout</v>
          </cell>
          <cell r="C568" t="str">
            <v>CO2_T</v>
          </cell>
          <cell r="D568">
            <v>3.3779840437774058</v>
          </cell>
          <cell r="E568">
            <v>3.9879540513637215</v>
          </cell>
          <cell r="F568">
            <v>2.8474718018317113</v>
          </cell>
          <cell r="G568">
            <v>2.2080408726498382</v>
          </cell>
          <cell r="H568">
            <v>60.895646726349192</v>
          </cell>
          <cell r="I568">
            <v>27.409981155896155</v>
          </cell>
        </row>
        <row r="569">
          <cell r="A569" t="str">
            <v>T_C-HY-GSL-S1</v>
          </cell>
          <cell r="B569" t="str">
            <v>VAR_fout</v>
          </cell>
          <cell r="C569" t="str">
            <v>TPCAR</v>
          </cell>
          <cell r="D569">
            <v>5.1922488381444531E-2</v>
          </cell>
          <cell r="E569">
            <v>6.2734869915926722E-2</v>
          </cell>
          <cell r="F569">
            <v>4.4677873368219177E-2</v>
          </cell>
          <cell r="G569">
            <v>3.5883872249628419E-2</v>
          </cell>
          <cell r="H569">
            <v>0.78715730804880923</v>
          </cell>
          <cell r="I569">
            <v>0.356330477943822</v>
          </cell>
        </row>
        <row r="570">
          <cell r="A570" t="str">
            <v>T_C-HY-GSL-S1</v>
          </cell>
          <cell r="B570" t="str">
            <v>VAR_fin</v>
          </cell>
          <cell r="C570" t="str">
            <v>TGSL</v>
          </cell>
          <cell r="D570">
            <v>4.5772141514599012E-2</v>
          </cell>
          <cell r="E570">
            <v>5.4037317769156205E-2</v>
          </cell>
          <cell r="F570">
            <v>3.858362875110722E-2</v>
          </cell>
          <cell r="G570">
            <v>2.9919253016935387E-2</v>
          </cell>
          <cell r="H570">
            <v>0.82514426458467649</v>
          </cell>
          <cell r="I570">
            <v>0.37140895875197988</v>
          </cell>
        </row>
        <row r="571">
          <cell r="A571" t="str">
            <v>T_C-HY-GSL-S1</v>
          </cell>
          <cell r="B571" t="str">
            <v>VAR_ncap</v>
          </cell>
          <cell r="C571" t="str">
            <v>-</v>
          </cell>
          <cell r="E571">
            <v>1.4749922794909999E-4</v>
          </cell>
          <cell r="F571">
            <v>1.7797848572347001E-4</v>
          </cell>
          <cell r="G571">
            <v>5.1456935438378101E-5</v>
          </cell>
          <cell r="H571">
            <v>8.42618157246149E-2</v>
          </cell>
          <cell r="I571">
            <v>2.1926101939763199E-4</v>
          </cell>
        </row>
        <row r="572">
          <cell r="A572" t="str">
            <v>T_C-HY-GSL-S1</v>
          </cell>
          <cell r="B572" t="str">
            <v>VAR_cap</v>
          </cell>
          <cell r="C572" t="str">
            <v>-</v>
          </cell>
          <cell r="D572">
            <v>5.6686589928979722E-3</v>
          </cell>
          <cell r="E572">
            <v>6.7052120647915769E-3</v>
          </cell>
          <cell r="F572">
            <v>6.7650752145980066E-3</v>
          </cell>
          <cell r="G572">
            <v>5.4447937279152661E-3</v>
          </cell>
          <cell r="H572">
            <v>0.11962334834122976</v>
          </cell>
          <cell r="I572">
            <v>5.4151435815254757E-2</v>
          </cell>
        </row>
        <row r="573">
          <cell r="A573" t="str">
            <v>T_B_u-HYBDSL-S4</v>
          </cell>
          <cell r="B573" t="str">
            <v>VAR_fout</v>
          </cell>
          <cell r="C573" t="str">
            <v>CO2_T</v>
          </cell>
          <cell r="E573">
            <v>8.6716330396697096E-4</v>
          </cell>
          <cell r="F573">
            <v>2.0280239361520421E-3</v>
          </cell>
          <cell r="G573">
            <v>8.7897920996139094E-4</v>
          </cell>
          <cell r="H573">
            <v>2.16875881789765E-3</v>
          </cell>
          <cell r="I573">
            <v>4.5928319246630201E-5</v>
          </cell>
        </row>
        <row r="574">
          <cell r="A574" t="str">
            <v>T_B_u-HYBDSL-S4</v>
          </cell>
          <cell r="B574" t="str">
            <v>VAR_fout</v>
          </cell>
          <cell r="C574" t="str">
            <v>TPBSu</v>
          </cell>
          <cell r="E574">
            <v>6.2406702390763E-7</v>
          </cell>
          <cell r="F574">
            <v>1.4940088475217285E-6</v>
          </cell>
          <cell r="G574">
            <v>6.8569459253936943E-7</v>
          </cell>
          <cell r="H574">
            <v>1.9261186158458259E-6</v>
          </cell>
          <cell r="I574">
            <v>4.6013160017337098E-8</v>
          </cell>
        </row>
        <row r="575">
          <cell r="A575" t="str">
            <v>T_B_u-HYBDSL-S4</v>
          </cell>
          <cell r="B575" t="str">
            <v>VAR_fin</v>
          </cell>
          <cell r="C575" t="str">
            <v>TDSL</v>
          </cell>
          <cell r="E575">
            <v>1.1830331568444359E-5</v>
          </cell>
          <cell r="F575">
            <v>2.7667447969332132E-5</v>
          </cell>
          <cell r="G575">
            <v>1.1991530831669724E-5</v>
          </cell>
          <cell r="H575">
            <v>2.9587432713474149E-5</v>
          </cell>
          <cell r="I575">
            <v>6.2658007157749201E-7</v>
          </cell>
        </row>
        <row r="576">
          <cell r="A576" t="str">
            <v>T_B_u-HYBDSL-S4</v>
          </cell>
          <cell r="B576" t="str">
            <v>VAR_ncap</v>
          </cell>
          <cell r="C576" t="str">
            <v>-</v>
          </cell>
          <cell r="E576">
            <v>2.1426980067166299E-8</v>
          </cell>
          <cell r="F576">
            <v>2.1007375786680799E-8</v>
          </cell>
          <cell r="G576">
            <v>1.5464083283574999E-8</v>
          </cell>
          <cell r="H576">
            <v>3.0761610157982698E-8</v>
          </cell>
          <cell r="I576">
            <v>1.2168987566710501E-8</v>
          </cell>
        </row>
        <row r="577">
          <cell r="A577" t="str">
            <v>T_B_u-HYBDSL-S4</v>
          </cell>
          <cell r="B577" t="str">
            <v>VAR_cap</v>
          </cell>
          <cell r="C577" t="str">
            <v>-</v>
          </cell>
          <cell r="E577">
            <v>2.1426980067166299E-8</v>
          </cell>
          <cell r="F577">
            <v>4.2434355853847101E-8</v>
          </cell>
          <cell r="G577">
            <v>3.73394966806977E-8</v>
          </cell>
          <cell r="H577">
            <v>5.8075202809090702E-8</v>
          </cell>
          <cell r="I577">
            <v>1.7567300584448499E-8</v>
          </cell>
        </row>
        <row r="578">
          <cell r="A578" t="str">
            <v>TFRLFDSLEXT</v>
          </cell>
          <cell r="B578" t="str">
            <v>VAR_fout</v>
          </cell>
          <cell r="C578" t="str">
            <v>CO2_T</v>
          </cell>
          <cell r="D578">
            <v>29.033280808108699</v>
          </cell>
          <cell r="E578">
            <v>20.343370198331801</v>
          </cell>
          <cell r="F578">
            <v>4.2894416060917803E-2</v>
          </cell>
          <cell r="G578">
            <v>4.4693881474670002E-2</v>
          </cell>
          <cell r="H578">
            <v>4.4656533631160199E-2</v>
          </cell>
          <cell r="I578">
            <v>2.2641658152856198E-2</v>
          </cell>
        </row>
        <row r="579">
          <cell r="A579" t="str">
            <v>TFRLFDSLEXT</v>
          </cell>
          <cell r="B579" t="str">
            <v>VAR_fout</v>
          </cell>
          <cell r="C579" t="str">
            <v>TFRLF</v>
          </cell>
          <cell r="D579">
            <v>1.6053756110648882E-3</v>
          </cell>
          <cell r="E579">
            <v>1.124872885676249E-3</v>
          </cell>
          <cell r="F579">
            <v>2.3718177029388699E-6</v>
          </cell>
          <cell r="G579">
            <v>2.4713179250214436E-6</v>
          </cell>
          <cell r="H579">
            <v>2.4692528012935117E-6</v>
          </cell>
          <cell r="I579">
            <v>1.2519551625220427E-6</v>
          </cell>
        </row>
        <row r="580">
          <cell r="A580" t="str">
            <v>TFRLFDSLEXT</v>
          </cell>
          <cell r="B580" t="str">
            <v>VAR_fin</v>
          </cell>
          <cell r="C580" t="str">
            <v>TDSL</v>
          </cell>
          <cell r="D580">
            <v>0.39608841484459378</v>
          </cell>
          <cell r="E580">
            <v>0.27753574622553562</v>
          </cell>
          <cell r="F580">
            <v>5.8518985076286268E-4</v>
          </cell>
          <cell r="G580">
            <v>6.0973917427926386E-4</v>
          </cell>
          <cell r="H580">
            <v>6.092296539039596E-4</v>
          </cell>
          <cell r="I580">
            <v>3.0889028857921172E-4</v>
          </cell>
        </row>
        <row r="581">
          <cell r="A581" t="str">
            <v>TFRLFDSLEXT</v>
          </cell>
          <cell r="B581" t="str">
            <v>VAR_ncap</v>
          </cell>
          <cell r="C581" t="str">
            <v>-</v>
          </cell>
          <cell r="D581">
            <v>1.48212465835126E-4</v>
          </cell>
        </row>
        <row r="582">
          <cell r="A582" t="str">
            <v>TFRLFDSLEXT</v>
          </cell>
          <cell r="B582" t="str">
            <v>VAR_cap</v>
          </cell>
          <cell r="C582" t="str">
            <v>-</v>
          </cell>
          <cell r="D582">
            <v>1.48212465835126E-4</v>
          </cell>
          <cell r="E582">
            <v>1.48212465835126E-4</v>
          </cell>
          <cell r="F582">
            <v>3.6928489306300755E-7</v>
          </cell>
          <cell r="G582">
            <v>3.6736329995501189E-7</v>
          </cell>
          <cell r="H582">
            <v>3.6746113584500899E-7</v>
          </cell>
          <cell r="I582">
            <v>1.8418601828710157E-7</v>
          </cell>
        </row>
        <row r="583">
          <cell r="A583" t="str">
            <v>T_C-HY-GSL-S2</v>
          </cell>
          <cell r="B583" t="str">
            <v>VAR_fout</v>
          </cell>
          <cell r="C583" t="str">
            <v>CO2_T</v>
          </cell>
          <cell r="D583">
            <v>10.213534704615828</v>
          </cell>
          <cell r="E583">
            <v>18.331046129806349</v>
          </cell>
          <cell r="F583">
            <v>45.290899211145032</v>
          </cell>
          <cell r="G583">
            <v>38.077824281090706</v>
          </cell>
          <cell r="H583">
            <v>74.483826351832533</v>
          </cell>
          <cell r="I583">
            <v>101.5721103713807</v>
          </cell>
        </row>
        <row r="584">
          <cell r="A584" t="str">
            <v>T_C-HY-GSL-S2</v>
          </cell>
          <cell r="B584" t="str">
            <v>VAR_fout</v>
          </cell>
          <cell r="C584" t="str">
            <v>TPCAR</v>
          </cell>
          <cell r="D584">
            <v>0.22166183019532265</v>
          </cell>
          <cell r="E584">
            <v>0.49866660974746269</v>
          </cell>
          <cell r="F584">
            <v>1.1732714915827014</v>
          </cell>
          <cell r="G584">
            <v>0.99484041339518448</v>
          </cell>
          <cell r="H584">
            <v>0.80219410773663069</v>
          </cell>
          <cell r="I584">
            <v>1.1898648867572719</v>
          </cell>
        </row>
        <row r="585">
          <cell r="A585" t="str">
            <v>T_C-HY-GSL-S2</v>
          </cell>
          <cell r="B585" t="str">
            <v>VAR_fin</v>
          </cell>
          <cell r="C585" t="str">
            <v>TGSL</v>
          </cell>
          <cell r="D585">
            <v>0.13839477919533616</v>
          </cell>
          <cell r="E585">
            <v>0.24838815894046568</v>
          </cell>
          <cell r="F585">
            <v>0.61369782128922867</v>
          </cell>
          <cell r="G585">
            <v>0.51595967860556458</v>
          </cell>
          <cell r="H585">
            <v>1.0092659397267261</v>
          </cell>
          <cell r="I585">
            <v>1.3763158586907966</v>
          </cell>
        </row>
        <row r="586">
          <cell r="A586" t="str">
            <v>T_C-HY-GSL-S2</v>
          </cell>
          <cell r="B586" t="str">
            <v>VAR_ncap</v>
          </cell>
          <cell r="C586" t="str">
            <v>-</v>
          </cell>
          <cell r="E586">
            <v>8.7205235295591405E-3</v>
          </cell>
          <cell r="F586">
            <v>5.3485072490027798E-2</v>
          </cell>
          <cell r="G586">
            <v>8.1701861488798304E-5</v>
          </cell>
          <cell r="H586">
            <v>1.9236172559825701E-4</v>
          </cell>
          <cell r="I586">
            <v>0.119630608180867</v>
          </cell>
        </row>
        <row r="587">
          <cell r="A587" t="str">
            <v>T_C-HY-GSL-S2</v>
          </cell>
          <cell r="B587" t="str">
            <v>VAR_cap</v>
          </cell>
          <cell r="C587" t="str">
            <v>-</v>
          </cell>
          <cell r="D587">
            <v>1.7226428470015053E-2</v>
          </cell>
          <cell r="E587">
            <v>3.7834949896643405E-2</v>
          </cell>
          <cell r="F587">
            <v>8.9032844604046216E-2</v>
          </cell>
          <cell r="G587">
            <v>7.5486045733084595E-2</v>
          </cell>
          <cell r="H587">
            <v>8.417231289215521E-2</v>
          </cell>
          <cell r="I587">
            <v>0.12549380868311147</v>
          </cell>
        </row>
        <row r="588">
          <cell r="A588" t="str">
            <v>TPSHPNGAEXT</v>
          </cell>
          <cell r="B588" t="str">
            <v>VAR_ncap</v>
          </cell>
          <cell r="C588" t="str">
            <v>-</v>
          </cell>
          <cell r="D588">
            <v>1.4374142892219699E-6</v>
          </cell>
          <cell r="E588">
            <v>1.9855080737853298E-6</v>
          </cell>
          <cell r="F588">
            <v>3.9428258301561197E-6</v>
          </cell>
          <cell r="G588">
            <v>1.9741229012173298E-6</v>
          </cell>
          <cell r="H588">
            <v>1.8992629397347701E-6</v>
          </cell>
          <cell r="I588">
            <v>1.1198130629588E-6</v>
          </cell>
        </row>
        <row r="589">
          <cell r="A589" t="str">
            <v>TPSHPNGAEXT</v>
          </cell>
          <cell r="B589" t="str">
            <v>VAR_cap</v>
          </cell>
          <cell r="C589" t="str">
            <v>-</v>
          </cell>
          <cell r="D589">
            <v>1.4374142892219699E-6</v>
          </cell>
          <cell r="E589">
            <v>3.4229223630072999E-6</v>
          </cell>
          <cell r="F589">
            <v>4.9717151044630398E-6</v>
          </cell>
          <cell r="G589">
            <v>1.8053001727879004E-6</v>
          </cell>
          <cell r="H589">
            <v>-5.1730548293705981E-6</v>
          </cell>
          <cell r="I589">
            <v>-7.2642801427509907E-8</v>
          </cell>
        </row>
        <row r="590">
          <cell r="A590" t="str">
            <v>T_C-HY-DSL-S1</v>
          </cell>
          <cell r="B590" t="str">
            <v>VAR_fout</v>
          </cell>
          <cell r="C590" t="str">
            <v>CO2_T</v>
          </cell>
          <cell r="D590">
            <v>2.36394521669114E-3</v>
          </cell>
          <cell r="E590">
            <v>12.931177148143902</v>
          </cell>
          <cell r="F590">
            <v>8.6565019993689578</v>
          </cell>
          <cell r="G590">
            <v>6.9804784951486631</v>
          </cell>
          <cell r="H590">
            <v>81.876738375976785</v>
          </cell>
          <cell r="I590">
            <v>29.582005669752288</v>
          </cell>
        </row>
        <row r="591">
          <cell r="A591" t="str">
            <v>T_C-HY-DSL-S1</v>
          </cell>
          <cell r="B591" t="str">
            <v>VAR_fout</v>
          </cell>
          <cell r="C591" t="str">
            <v>TPCAR</v>
          </cell>
          <cell r="D591">
            <v>1.3488393295237654E-5</v>
          </cell>
          <cell r="E591">
            <v>0.29947834421960823</v>
          </cell>
          <cell r="F591">
            <v>0.20011415088158779</v>
          </cell>
          <cell r="G591">
            <v>0.16106453859843614</v>
          </cell>
          <cell r="H591">
            <v>1.0465293953333945</v>
          </cell>
          <cell r="I591">
            <v>0.38060686881697864</v>
          </cell>
        </row>
        <row r="592">
          <cell r="A592" t="str">
            <v>T_C-HY-DSL-S1</v>
          </cell>
          <cell r="B592" t="str">
            <v>VAR_fin</v>
          </cell>
          <cell r="C592" t="str">
            <v>TDSL</v>
          </cell>
          <cell r="D592">
            <v>3.2250275807518918E-5</v>
          </cell>
          <cell r="E592">
            <v>0.17641442221205889</v>
          </cell>
          <cell r="F592">
            <v>0.11809688948661602</v>
          </cell>
          <cell r="G592">
            <v>9.5231630220309296E-2</v>
          </cell>
          <cell r="H592">
            <v>1.1170087090856304</v>
          </cell>
          <cell r="I592">
            <v>0.4035744293281362</v>
          </cell>
        </row>
        <row r="593">
          <cell r="A593" t="str">
            <v>T_C-HY-DSL-S1</v>
          </cell>
          <cell r="B593" t="str">
            <v>VAR_ncap</v>
          </cell>
          <cell r="C593" t="str">
            <v>-</v>
          </cell>
          <cell r="E593">
            <v>3.24258689792171E-2</v>
          </cell>
          <cell r="F593">
            <v>2.4378555194945199E-4</v>
          </cell>
          <cell r="G593">
            <v>4.9370099095149299E-5</v>
          </cell>
          <cell r="H593">
            <v>4.9246210148238399E-2</v>
          </cell>
          <cell r="I593">
            <v>2.1973318075694501E-4</v>
          </cell>
        </row>
        <row r="594">
          <cell r="A594" t="str">
            <v>T_C-HY-DSL-S1</v>
          </cell>
          <cell r="B594" t="str">
            <v>VAR_cap</v>
          </cell>
          <cell r="C594" t="str">
            <v>-</v>
          </cell>
          <cell r="D594">
            <v>1.5999999999999999E-6</v>
          </cell>
          <cell r="E594">
            <v>3.1995778491850195E-2</v>
          </cell>
          <cell r="F594">
            <v>3.0404985174954231E-2</v>
          </cell>
          <cell r="G594">
            <v>2.4474884127910438E-2</v>
          </cell>
          <cell r="H594">
            <v>0.15904151199025496</v>
          </cell>
          <cell r="I594">
            <v>5.7840861912584633E-2</v>
          </cell>
        </row>
        <row r="595">
          <cell r="A595" t="str">
            <v>T_C-HY-GSL-S3</v>
          </cell>
          <cell r="B595" t="str">
            <v>VAR_fout</v>
          </cell>
          <cell r="C595" t="str">
            <v>CO2_T</v>
          </cell>
          <cell r="D595">
            <v>7.5737366920197946</v>
          </cell>
          <cell r="E595">
            <v>89.911124889369773</v>
          </cell>
          <cell r="F595">
            <v>85.035351718417033</v>
          </cell>
          <cell r="G595">
            <v>68.019685686346804</v>
          </cell>
          <cell r="H595">
            <v>7.7632437782488573E-2</v>
          </cell>
          <cell r="I595">
            <v>4.9068747509216699E-2</v>
          </cell>
        </row>
        <row r="596">
          <cell r="A596" t="str">
            <v>T_C-HY-GSL-S3</v>
          </cell>
          <cell r="B596" t="str">
            <v>VAR_fout</v>
          </cell>
          <cell r="C596" t="str">
            <v>TPCAR</v>
          </cell>
          <cell r="D596">
            <v>0.20245849475032279</v>
          </cell>
          <cell r="E596">
            <v>3.0391146257130672</v>
          </cell>
          <cell r="F596">
            <v>2.8712196518679729</v>
          </cell>
          <cell r="G596">
            <v>2.3117296712886195</v>
          </cell>
          <cell r="H596">
            <v>7.5654863973732595E-4</v>
          </cell>
          <cell r="I596">
            <v>5.0143672623643315E-4</v>
          </cell>
        </row>
        <row r="597">
          <cell r="A597" t="str">
            <v>T_C-HY-GSL-S3</v>
          </cell>
          <cell r="B597" t="str">
            <v>VAR_fin</v>
          </cell>
          <cell r="C597" t="str">
            <v>TGSL</v>
          </cell>
          <cell r="D597">
            <v>0.10262515842845267</v>
          </cell>
          <cell r="E597">
            <v>1.2183079253302143</v>
          </cell>
          <cell r="F597">
            <v>1.152240538189933</v>
          </cell>
          <cell r="G597">
            <v>0.92167595780957623</v>
          </cell>
          <cell r="H597">
            <v>1.0519300512532332E-3</v>
          </cell>
          <cell r="I597">
            <v>6.6488817763166294E-4</v>
          </cell>
        </row>
        <row r="598">
          <cell r="A598" t="str">
            <v>T_C-HY-GSL-S3</v>
          </cell>
          <cell r="B598" t="str">
            <v>VAR_ncap</v>
          </cell>
          <cell r="C598" t="str">
            <v>-</v>
          </cell>
          <cell r="E598">
            <v>0.185496796070832</v>
          </cell>
          <cell r="F598">
            <v>3.0570790898589601E-5</v>
          </cell>
          <cell r="G598">
            <v>1.6965249188863399E-5</v>
          </cell>
          <cell r="H598">
            <v>2.21342454059363E-5</v>
          </cell>
          <cell r="I598">
            <v>2.19115065685595E-5</v>
          </cell>
        </row>
        <row r="599">
          <cell r="A599" t="str">
            <v>T_C-HY-GSL-S3</v>
          </cell>
          <cell r="B599" t="str">
            <v>VAR_cap</v>
          </cell>
          <cell r="C599" t="str">
            <v>-</v>
          </cell>
          <cell r="D599">
            <v>1.4248154662404878E-2</v>
          </cell>
          <cell r="E599">
            <v>0.20896196680374379</v>
          </cell>
          <cell r="F599">
            <v>0.19743488806589871</v>
          </cell>
          <cell r="G599">
            <v>0.15895567301960487</v>
          </cell>
          <cell r="H599">
            <v>5.5730800569620663E-5</v>
          </cell>
          <cell r="I599">
            <v>3.73520061275556E-5</v>
          </cell>
        </row>
        <row r="600">
          <cell r="A600" t="str">
            <v>T_C-HY-DSL-S2</v>
          </cell>
          <cell r="B600" t="str">
            <v>VAR_fout</v>
          </cell>
          <cell r="C600" t="str">
            <v>CO2_T</v>
          </cell>
          <cell r="D600">
            <v>0.20341079485109231</v>
          </cell>
          <cell r="E600">
            <v>45.156960165359713</v>
          </cell>
          <cell r="F600">
            <v>82.259862763125625</v>
          </cell>
          <cell r="G600">
            <v>69.162497677479735</v>
          </cell>
          <cell r="H600">
            <v>9.407146185326809</v>
          </cell>
          <cell r="I600">
            <v>109.41582661998245</v>
          </cell>
        </row>
        <row r="601">
          <cell r="A601" t="str">
            <v>T_C-HY-DSL-S2</v>
          </cell>
          <cell r="B601" t="str">
            <v>VAR_fout</v>
          </cell>
          <cell r="C601" t="str">
            <v>TPCAR</v>
          </cell>
          <cell r="D601">
            <v>3.2537832679149521E-3</v>
          </cell>
          <cell r="E601">
            <v>1.6515637096929296</v>
          </cell>
          <cell r="F601">
            <v>2.6146392837270307</v>
          </cell>
          <cell r="G601">
            <v>2.1808217545130679</v>
          </cell>
          <cell r="H601">
            <v>0.13821475214568854</v>
          </cell>
          <cell r="I601">
            <v>1.3246433817140628</v>
          </cell>
        </row>
        <row r="602">
          <cell r="A602" t="str">
            <v>T_C-HY-DSL-S2</v>
          </cell>
          <cell r="B602" t="str">
            <v>VAR_fin</v>
          </cell>
          <cell r="C602" t="str">
            <v>TDSL</v>
          </cell>
          <cell r="D602">
            <v>2.775044950219541E-3</v>
          </cell>
          <cell r="E602">
            <v>0.61605675532550774</v>
          </cell>
          <cell r="F602">
            <v>1.1222355083646056</v>
          </cell>
          <cell r="G602">
            <v>0.94355385644583567</v>
          </cell>
          <cell r="H602">
            <v>0.12833760143692782</v>
          </cell>
          <cell r="I602">
            <v>1.4927125050475041</v>
          </cell>
        </row>
        <row r="603">
          <cell r="A603" t="str">
            <v>T_C-HY-DSL-S2</v>
          </cell>
          <cell r="B603" t="str">
            <v>VAR_ncap</v>
          </cell>
          <cell r="C603" t="str">
            <v>-</v>
          </cell>
          <cell r="E603">
            <v>0.12647205383271601</v>
          </cell>
          <cell r="F603">
            <v>8.13311400596433E-2</v>
          </cell>
          <cell r="G603">
            <v>7.6509424839079899E-5</v>
          </cell>
          <cell r="H603">
            <v>2.0894741148538601E-4</v>
          </cell>
          <cell r="I603">
            <v>0.16102301174305</v>
          </cell>
        </row>
        <row r="604">
          <cell r="A604" t="str">
            <v>T_C-HY-DSL-S2</v>
          </cell>
          <cell r="B604" t="str">
            <v>VAR_cap</v>
          </cell>
          <cell r="C604" t="str">
            <v>-</v>
          </cell>
          <cell r="D604">
            <v>2.5974892323239209E-4</v>
          </cell>
          <cell r="E604">
            <v>0.1253089640367554</v>
          </cell>
          <cell r="F604">
            <v>0.19838767240858252</v>
          </cell>
          <cell r="G604">
            <v>0.16547069328194419</v>
          </cell>
          <cell r="H604">
            <v>1.4445311978967305E-2</v>
          </cell>
          <cell r="I604">
            <v>0.13970987560543568</v>
          </cell>
        </row>
        <row r="605">
          <cell r="A605" t="str">
            <v>D-T-ELC-Bus_c_S1</v>
          </cell>
          <cell r="B605" t="str">
            <v>VAR_fout</v>
          </cell>
          <cell r="C605" t="str">
            <v>T-ELC-Bus_c_BatSTGin_S1</v>
          </cell>
          <cell r="D605">
            <v>3.6785068262396183E-4</v>
          </cell>
          <cell r="E605">
            <v>4.9785750461917586E-4</v>
          </cell>
          <cell r="F605">
            <v>7.0966238589755828E-4</v>
          </cell>
          <cell r="G605">
            <v>0.14586412411488109</v>
          </cell>
          <cell r="H605">
            <v>0.13918092741121812</v>
          </cell>
          <cell r="I605">
            <v>0.12048323520011027</v>
          </cell>
        </row>
        <row r="606">
          <cell r="A606" t="str">
            <v>D-T-ELC-Bus_c_S1</v>
          </cell>
          <cell r="B606" t="str">
            <v>VAR_fin</v>
          </cell>
          <cell r="C606" t="str">
            <v>TELC</v>
          </cell>
          <cell r="D606">
            <v>3.6785068262396183E-4</v>
          </cell>
          <cell r="E606">
            <v>4.9785750461917586E-4</v>
          </cell>
          <cell r="F606">
            <v>7.0966238589755828E-4</v>
          </cell>
          <cell r="G606">
            <v>0.14586412411488109</v>
          </cell>
          <cell r="H606">
            <v>0.13918092741121812</v>
          </cell>
          <cell r="I606">
            <v>0.12048323520011027</v>
          </cell>
        </row>
        <row r="607">
          <cell r="A607" t="str">
            <v>D-T-ELC-Bus_c_S1</v>
          </cell>
          <cell r="B607" t="str">
            <v>VAR_ncap</v>
          </cell>
          <cell r="C607" t="str">
            <v>-</v>
          </cell>
          <cell r="D607">
            <v>4.7065392629621799E-5</v>
          </cell>
          <cell r="E607">
            <v>1.7043523738786399E-5</v>
          </cell>
          <cell r="F607">
            <v>2.70906165128073E-5</v>
          </cell>
          <cell r="G607">
            <v>1.8332400501658502E-2</v>
          </cell>
          <cell r="H607">
            <v>1.3911288269575999E-2</v>
          </cell>
          <cell r="I607">
            <v>8.0865037750253391E-3</v>
          </cell>
        </row>
        <row r="608">
          <cell r="A608" t="str">
            <v>D-T-ELC-Bus_c_S1</v>
          </cell>
          <cell r="B608" t="str">
            <v>VAR_cap</v>
          </cell>
          <cell r="C608" t="str">
            <v>-</v>
          </cell>
          <cell r="D608">
            <v>4.7065392629621799E-5</v>
          </cell>
          <cell r="E608">
            <v>6.4108916368408201E-5</v>
          </cell>
          <cell r="F608">
            <v>9.1199532881215505E-5</v>
          </cell>
          <cell r="G608">
            <v>1.8408714048032598E-2</v>
          </cell>
          <cell r="H608">
            <v>1.7290416538190499E-2</v>
          </cell>
          <cell r="I608">
            <v>1.5086263151966499E-2</v>
          </cell>
        </row>
        <row r="609">
          <cell r="A609" t="str">
            <v>T_C-HY-GSL-S4</v>
          </cell>
          <cell r="B609" t="str">
            <v>VAR_fout</v>
          </cell>
          <cell r="C609" t="str">
            <v>CO2_T</v>
          </cell>
          <cell r="D609">
            <v>6.6937361794855788</v>
          </cell>
          <cell r="E609">
            <v>10.003697328694905</v>
          </cell>
          <cell r="F609">
            <v>9.5912445570250799</v>
          </cell>
          <cell r="G609">
            <v>7.9857858506950832</v>
          </cell>
          <cell r="H609">
            <v>0.10342156370440254</v>
          </cell>
          <cell r="I609">
            <v>0.16172970333757819</v>
          </cell>
        </row>
        <row r="610">
          <cell r="A610" t="str">
            <v>T_C-HY-GSL-S4</v>
          </cell>
          <cell r="B610" t="str">
            <v>VAR_fout</v>
          </cell>
          <cell r="C610" t="str">
            <v>TPCAR</v>
          </cell>
          <cell r="D610">
            <v>0.1039096433642443</v>
          </cell>
          <cell r="E610">
            <v>0.1798455477295389</v>
          </cell>
          <cell r="F610">
            <v>0.17225295777918367</v>
          </cell>
          <cell r="G610">
            <v>0.14453489911290091</v>
          </cell>
          <cell r="H610">
            <v>9.8294469553147066E-4</v>
          </cell>
          <cell r="I610">
            <v>1.6753747778164669E-3</v>
          </cell>
        </row>
        <row r="611">
          <cell r="A611" t="str">
            <v>T_C-HY-GSL-S4</v>
          </cell>
          <cell r="B611" t="str">
            <v>VAR_fin</v>
          </cell>
          <cell r="C611" t="str">
            <v>TGSL</v>
          </cell>
          <cell r="D611">
            <v>9.0701032242352278E-2</v>
          </cell>
          <cell r="E611">
            <v>0.13555145431835933</v>
          </cell>
          <cell r="F611">
            <v>0.12996266337432363</v>
          </cell>
          <cell r="G611">
            <v>0.10820848036172211</v>
          </cell>
          <cell r="H611">
            <v>1.4013762019566742E-3</v>
          </cell>
          <cell r="I611">
            <v>2.1914593948181359E-3</v>
          </cell>
        </row>
        <row r="612">
          <cell r="A612" t="str">
            <v>T_C-HY-GSL-S4</v>
          </cell>
          <cell r="B612" t="str">
            <v>VAR_ncap</v>
          </cell>
          <cell r="C612" t="str">
            <v>-</v>
          </cell>
          <cell r="E612">
            <v>8.6846650353870802E-5</v>
          </cell>
          <cell r="F612">
            <v>2.9376542064254799E-5</v>
          </cell>
          <cell r="G612">
            <v>2.0082489703696198E-5</v>
          </cell>
          <cell r="H612">
            <v>4.0018633042441603E-5</v>
          </cell>
          <cell r="I612">
            <v>1.3441609599269599E-4</v>
          </cell>
        </row>
        <row r="613">
          <cell r="A613" t="str">
            <v>T_C-HY-GSL-S4</v>
          </cell>
          <cell r="B613" t="str">
            <v>VAR_cap</v>
          </cell>
          <cell r="C613" t="str">
            <v>-</v>
          </cell>
          <cell r="D613">
            <v>8.3198749568996252E-3</v>
          </cell>
          <cell r="E613">
            <v>1.4164925476166429E-2</v>
          </cell>
          <cell r="F613">
            <v>1.3611206876429967E-2</v>
          </cell>
          <cell r="G613">
            <v>1.1401332258544349E-2</v>
          </cell>
          <cell r="H613">
            <v>8.6102311692749325E-5</v>
          </cell>
          <cell r="I613">
            <v>1.4596653734920599E-4</v>
          </cell>
        </row>
        <row r="614">
          <cell r="A614" t="str">
            <v>T_C-HY-DSL-S3</v>
          </cell>
          <cell r="B614" t="str">
            <v>VAR_fout</v>
          </cell>
          <cell r="C614" t="str">
            <v>CO2_T</v>
          </cell>
          <cell r="D614">
            <v>2.1439061884335446</v>
          </cell>
          <cell r="E614">
            <v>3.3538928544686044</v>
          </cell>
          <cell r="F614">
            <v>3.2163419529572788</v>
          </cell>
          <cell r="G614">
            <v>2.4335160602558128</v>
          </cell>
          <cell r="H614">
            <v>7.7228735430530784E-2</v>
          </cell>
          <cell r="I614">
            <v>4.8882175071218295E-2</v>
          </cell>
        </row>
        <row r="615">
          <cell r="A615" t="str">
            <v>T_C-HY-DSL-S3</v>
          </cell>
          <cell r="B615" t="str">
            <v>VAR_fout</v>
          </cell>
          <cell r="C615" t="str">
            <v>TPCAR</v>
          </cell>
          <cell r="D615">
            <v>2.6225978618277229E-2</v>
          </cell>
          <cell r="E615">
            <v>5.454201586838054E-2</v>
          </cell>
          <cell r="F615">
            <v>5.2123315797062482E-2</v>
          </cell>
          <cell r="G615">
            <v>4.1706847646257469E-2</v>
          </cell>
          <cell r="H615">
            <v>7.4969666879003019E-4</v>
          </cell>
          <cell r="I615">
            <v>5.0267207492853724E-4</v>
          </cell>
        </row>
        <row r="616">
          <cell r="A616" t="str">
            <v>T_C-HY-DSL-S3</v>
          </cell>
          <cell r="B616" t="str">
            <v>VAR_fin</v>
          </cell>
          <cell r="C616" t="str">
            <v>TDSL</v>
          </cell>
          <cell r="D616">
            <v>2.9248379105505432E-2</v>
          </cell>
          <cell r="E616">
            <v>4.5755700606665825E-2</v>
          </cell>
          <cell r="F616">
            <v>4.3879153519198952E-2</v>
          </cell>
          <cell r="G616">
            <v>3.3199400549192494E-2</v>
          </cell>
          <cell r="H616">
            <v>1.0535980277016489E-3</v>
          </cell>
          <cell r="I616">
            <v>6.6687824108074096E-4</v>
          </cell>
        </row>
        <row r="617">
          <cell r="A617" t="str">
            <v>T_C-HY-DSL-S3</v>
          </cell>
          <cell r="B617" t="str">
            <v>VAR_ncap</v>
          </cell>
          <cell r="C617" t="str">
            <v>-</v>
          </cell>
          <cell r="E617">
            <v>7.85017842414369E-5</v>
          </cell>
          <cell r="F617">
            <v>2.6228545068736E-5</v>
          </cell>
          <cell r="G617">
            <v>1.66675053921432E-5</v>
          </cell>
          <cell r="H617">
            <v>2.24893997648674E-5</v>
          </cell>
          <cell r="I617">
            <v>2.1925934177020802E-5</v>
          </cell>
        </row>
        <row r="618">
          <cell r="A618" t="str">
            <v>T_C-HY-DSL-S3</v>
          </cell>
          <cell r="B618" t="str">
            <v>VAR_cap</v>
          </cell>
          <cell r="C618" t="str">
            <v>-</v>
          </cell>
          <cell r="D618">
            <v>1.8560218584746683E-3</v>
          </cell>
          <cell r="E618">
            <v>3.7517886039954498E-3</v>
          </cell>
          <cell r="F618">
            <v>3.5968773810661084E-3</v>
          </cell>
          <cell r="G618">
            <v>2.8738115118039863E-3</v>
          </cell>
          <cell r="H618">
            <v>5.5176571541627341E-5</v>
          </cell>
          <cell r="I618">
            <v>3.7421274920135403E-5</v>
          </cell>
        </row>
        <row r="619">
          <cell r="A619" t="str">
            <v>D-T-ELC-Bus_c_S2</v>
          </cell>
          <cell r="B619" t="str">
            <v>VAR_fout</v>
          </cell>
          <cell r="C619" t="str">
            <v>T-ELC-Bus_c_BatSTGin_S2</v>
          </cell>
          <cell r="D619">
            <v>6.4385950873767979E-4</v>
          </cell>
          <cell r="E619">
            <v>6.5841756235755842E-4</v>
          </cell>
          <cell r="F619">
            <v>9.2640302940053486E-4</v>
          </cell>
          <cell r="G619">
            <v>7.1039976753786094E-2</v>
          </cell>
          <cell r="H619">
            <v>6.8903301026344205E-2</v>
          </cell>
          <cell r="I619">
            <v>6.0942831482509334E-2</v>
          </cell>
        </row>
        <row r="620">
          <cell r="A620" t="str">
            <v>D-T-ELC-Bus_c_S2</v>
          </cell>
          <cell r="B620" t="str">
            <v>VAR_fin</v>
          </cell>
          <cell r="C620" t="str">
            <v>TELC</v>
          </cell>
          <cell r="D620">
            <v>6.4385950873767979E-4</v>
          </cell>
          <cell r="E620">
            <v>6.5841756235755842E-4</v>
          </cell>
          <cell r="F620">
            <v>9.2640302940053486E-4</v>
          </cell>
          <cell r="G620">
            <v>7.1039976753786094E-2</v>
          </cell>
          <cell r="H620">
            <v>6.8903301026344205E-2</v>
          </cell>
          <cell r="I620">
            <v>6.0942831482509334E-2</v>
          </cell>
        </row>
        <row r="621">
          <cell r="A621" t="str">
            <v>D-T-ELC-Bus_c_S2</v>
          </cell>
          <cell r="B621" t="str">
            <v>VAR_ncap</v>
          </cell>
          <cell r="C621" t="str">
            <v>-</v>
          </cell>
          <cell r="D621">
            <v>7.2386737761721893E-5</v>
          </cell>
          <cell r="E621">
            <v>1.54340776619797E-5</v>
          </cell>
          <cell r="F621">
            <v>2.7126468574282098E-5</v>
          </cell>
          <cell r="G621">
            <v>8.8125813343887804E-3</v>
          </cell>
          <cell r="H621">
            <v>6.5453307869477199E-3</v>
          </cell>
          <cell r="I621">
            <v>4.2339514969614196E-3</v>
          </cell>
        </row>
        <row r="622">
          <cell r="A622" t="str">
            <v>D-T-ELC-Bus_c_S2</v>
          </cell>
          <cell r="B622" t="str">
            <v>VAR_cap</v>
          </cell>
          <cell r="C622" t="str">
            <v>-</v>
          </cell>
          <cell r="D622">
            <v>7.2386737761721893E-5</v>
          </cell>
          <cell r="E622">
            <v>8.7820815423701607E-5</v>
          </cell>
          <cell r="F622">
            <v>1.1494728399798401E-4</v>
          </cell>
          <cell r="G622">
            <v>8.9060620770840503E-3</v>
          </cell>
          <cell r="H622">
            <v>8.4864337614764009E-3</v>
          </cell>
          <cell r="I622">
            <v>7.5831905750292803E-3</v>
          </cell>
        </row>
        <row r="623">
          <cell r="A623" t="str">
            <v>T_C-HY-DSL-S4</v>
          </cell>
          <cell r="B623" t="str">
            <v>VAR_fout</v>
          </cell>
          <cell r="C623" t="str">
            <v>CO2_T</v>
          </cell>
          <cell r="D623">
            <v>2.581175629955279</v>
          </cell>
          <cell r="E623">
            <v>5.2244726274080371</v>
          </cell>
          <cell r="F623">
            <v>4.9567988768646449</v>
          </cell>
          <cell r="G623">
            <v>4.0890948264827784</v>
          </cell>
          <cell r="H623">
            <v>0.10303595735964974</v>
          </cell>
          <cell r="I623">
            <v>0.1640339699234451</v>
          </cell>
        </row>
        <row r="624">
          <cell r="A624" t="str">
            <v>T_C-HY-DSL-S4</v>
          </cell>
          <cell r="B624" t="str">
            <v>VAR_fout</v>
          </cell>
          <cell r="C624" t="str">
            <v>TPCAR</v>
          </cell>
          <cell r="D624">
            <v>4.7380076442047336E-2</v>
          </cell>
          <cell r="E624">
            <v>0.11247776824169553</v>
          </cell>
          <cell r="F624">
            <v>0.10731419470504301</v>
          </cell>
          <cell r="G624">
            <v>9.0241390209314681E-2</v>
          </cell>
          <cell r="H624">
            <v>9.8611204594385585E-4</v>
          </cell>
          <cell r="I624">
            <v>1.7104584676208806E-3</v>
          </cell>
        </row>
        <row r="625">
          <cell r="A625" t="str">
            <v>T_C-HY-DSL-S4</v>
          </cell>
          <cell r="B625" t="str">
            <v>VAR_fin</v>
          </cell>
          <cell r="C625" t="str">
            <v>TDSL</v>
          </cell>
          <cell r="D625">
            <v>3.5213855797479987E-2</v>
          </cell>
          <cell r="E625">
            <v>7.1275206376644237E-2</v>
          </cell>
          <cell r="F625">
            <v>6.7623449889012963E-2</v>
          </cell>
          <cell r="G625">
            <v>5.5785741152561866E-2</v>
          </cell>
          <cell r="H625">
            <v>1.4056747252339694E-3</v>
          </cell>
          <cell r="I625">
            <v>2.2378440644399114E-3</v>
          </cell>
        </row>
        <row r="626">
          <cell r="A626" t="str">
            <v>T_C-HY-DSL-S4</v>
          </cell>
          <cell r="B626" t="str">
            <v>VAR_ncap</v>
          </cell>
          <cell r="C626" t="str">
            <v>-</v>
          </cell>
          <cell r="E626">
            <v>9.0363935809104797E-5</v>
          </cell>
          <cell r="F626">
            <v>2.98044251559514E-5</v>
          </cell>
          <cell r="G626">
            <v>1.96730069759383E-5</v>
          </cell>
          <cell r="H626">
            <v>4.0888826069378902E-5</v>
          </cell>
          <cell r="I626">
            <v>1.3738838842154201E-4</v>
          </cell>
        </row>
        <row r="627">
          <cell r="A627" t="str">
            <v>T_C-HY-DSL-S4</v>
          </cell>
          <cell r="B627" t="str">
            <v>VAR_cap</v>
          </cell>
          <cell r="C627" t="str">
            <v>-</v>
          </cell>
          <cell r="D627">
            <v>3.7726563204982435E-3</v>
          </cell>
          <cell r="E627">
            <v>8.8590034434825656E-3</v>
          </cell>
          <cell r="F627">
            <v>8.47514089570095E-3</v>
          </cell>
          <cell r="G627">
            <v>7.1196546746214624E-3</v>
          </cell>
          <cell r="H627">
            <v>8.6167130775302402E-5</v>
          </cell>
          <cell r="I627">
            <v>1.4875312631824501E-4</v>
          </cell>
        </row>
        <row r="628">
          <cell r="A628" t="str">
            <v>D-T-ELC-Bus_c_S3</v>
          </cell>
          <cell r="B628" t="str">
            <v>VAR_fout</v>
          </cell>
          <cell r="C628" t="str">
            <v>T-ELC-Bus_c_BatSTGin_S3</v>
          </cell>
          <cell r="D628">
            <v>3.1910495113122165E-4</v>
          </cell>
          <cell r="E628">
            <v>5.0400466171373107E-4</v>
          </cell>
          <cell r="F628">
            <v>6.261063049310461E-4</v>
          </cell>
          <cell r="G628">
            <v>9.8871266100464305E-4</v>
          </cell>
          <cell r="H628">
            <v>1.8635415554578525E-3</v>
          </cell>
          <cell r="I628">
            <v>1.0468432887038501E-3</v>
          </cell>
        </row>
        <row r="629">
          <cell r="A629" t="str">
            <v>D-T-ELC-Bus_c_S3</v>
          </cell>
          <cell r="B629" t="str">
            <v>VAR_fin</v>
          </cell>
          <cell r="C629" t="str">
            <v>TELC</v>
          </cell>
          <cell r="D629">
            <v>3.1910495113122165E-4</v>
          </cell>
          <cell r="E629">
            <v>5.0400466171373107E-4</v>
          </cell>
          <cell r="F629">
            <v>6.261063049310461E-4</v>
          </cell>
          <cell r="G629">
            <v>9.8871266100464305E-4</v>
          </cell>
          <cell r="H629">
            <v>1.8635415554578525E-3</v>
          </cell>
          <cell r="I629">
            <v>1.0468432887038501E-3</v>
          </cell>
        </row>
        <row r="630">
          <cell r="A630" t="str">
            <v>D-T-ELC-Bus_c_S3</v>
          </cell>
          <cell r="B630" t="str">
            <v>VAR_ncap</v>
          </cell>
          <cell r="C630" t="str">
            <v>-</v>
          </cell>
          <cell r="D630">
            <v>4.1413629408672898E-5</v>
          </cell>
          <cell r="E630">
            <v>1.89004328925431E-5</v>
          </cell>
          <cell r="F630">
            <v>1.6112949024697601E-5</v>
          </cell>
          <cell r="G630">
            <v>9.4601099327259997E-5</v>
          </cell>
          <cell r="H630">
            <v>1.49145838212856E-4</v>
          </cell>
          <cell r="I630">
            <v>8.83204383261532E-5</v>
          </cell>
        </row>
        <row r="631">
          <cell r="A631" t="str">
            <v>D-T-ELC-Bus_c_S3</v>
          </cell>
          <cell r="B631" t="str">
            <v>VAR_cap</v>
          </cell>
          <cell r="C631" t="str">
            <v>-</v>
          </cell>
          <cell r="D631">
            <v>4.1413629408672898E-5</v>
          </cell>
          <cell r="E631">
            <v>6.0314062301215997E-5</v>
          </cell>
          <cell r="F631">
            <v>7.6427011325913601E-5</v>
          </cell>
          <cell r="G631">
            <v>1.4054072854368299E-4</v>
          </cell>
          <cell r="H631">
            <v>2.5100046994043198E-4</v>
          </cell>
          <cell r="I631">
            <v>1.3940605677755099E-4</v>
          </cell>
        </row>
        <row r="632">
          <cell r="A632" t="str">
            <v>D-T-ELC-Bus_c_S4</v>
          </cell>
          <cell r="B632" t="str">
            <v>VAR_fout</v>
          </cell>
          <cell r="C632" t="str">
            <v>T-ELC-Bus_c_BatSTGin_S4</v>
          </cell>
          <cell r="D632">
            <v>9.4508688997053781E-6</v>
          </cell>
          <cell r="E632">
            <v>7.196453972784509E-5</v>
          </cell>
          <cell r="F632">
            <v>1.2113382814407352E-4</v>
          </cell>
          <cell r="G632">
            <v>3.6991249955186409E-4</v>
          </cell>
          <cell r="H632">
            <v>4.7284333680039814E-4</v>
          </cell>
          <cell r="I632">
            <v>2.4364731694134762E-4</v>
          </cell>
        </row>
        <row r="633">
          <cell r="A633" t="str">
            <v>D-T-ELC-Bus_c_S4</v>
          </cell>
          <cell r="B633" t="str">
            <v>VAR_fin</v>
          </cell>
          <cell r="C633" t="str">
            <v>TELC</v>
          </cell>
          <cell r="D633">
            <v>9.4508688997053781E-6</v>
          </cell>
          <cell r="E633">
            <v>7.196453972784509E-5</v>
          </cell>
          <cell r="F633">
            <v>1.2113382814407352E-4</v>
          </cell>
          <cell r="G633">
            <v>3.6991249955186409E-4</v>
          </cell>
          <cell r="H633">
            <v>4.7284333680039814E-4</v>
          </cell>
          <cell r="I633">
            <v>2.4364731694134762E-4</v>
          </cell>
        </row>
        <row r="634">
          <cell r="A634" t="str">
            <v>D-T-ELC-Bus_c_S4</v>
          </cell>
          <cell r="B634" t="str">
            <v>VAR_ncap</v>
          </cell>
          <cell r="C634" t="str">
            <v>-</v>
          </cell>
          <cell r="D634">
            <v>8.5187067192418201E-6</v>
          </cell>
          <cell r="E634">
            <v>7.5151367771292396E-6</v>
          </cell>
          <cell r="F634">
            <v>8.4427258908350993E-6</v>
          </cell>
          <cell r="G634">
            <v>5.7349835940384001E-5</v>
          </cell>
          <cell r="H634">
            <v>6.4625803908791002E-5</v>
          </cell>
          <cell r="I634">
            <v>3.1758087304098002E-5</v>
          </cell>
        </row>
        <row r="635">
          <cell r="A635" t="str">
            <v>D-T-ELC-Bus_c_S4</v>
          </cell>
          <cell r="B635" t="str">
            <v>VAR_cap</v>
          </cell>
          <cell r="C635" t="str">
            <v>-</v>
          </cell>
          <cell r="D635">
            <v>8.5187067192418201E-6</v>
          </cell>
          <cell r="E635">
            <v>1.6033843496371099E-5</v>
          </cell>
          <cell r="F635">
            <v>2.4476569387206201E-5</v>
          </cell>
          <cell r="G635">
            <v>6.7117583754596299E-5</v>
          </cell>
          <cell r="H635">
            <v>9.9181591978807104E-5</v>
          </cell>
          <cell r="I635">
            <v>4.3099181503358501E-5</v>
          </cell>
        </row>
        <row r="636">
          <cell r="A636" t="str">
            <v>D-TH2O</v>
          </cell>
          <cell r="B636" t="str">
            <v>VAR_fout</v>
          </cell>
          <cell r="C636" t="str">
            <v>TH2Ointl</v>
          </cell>
          <cell r="H636">
            <v>8.6574202577433193E-6</v>
          </cell>
          <cell r="I636">
            <v>4.1020555096639802E-6</v>
          </cell>
        </row>
        <row r="637">
          <cell r="A637" t="str">
            <v>D-TH2O</v>
          </cell>
          <cell r="B637" t="str">
            <v>VAR_fout</v>
          </cell>
          <cell r="C637" t="str">
            <v>TH2O</v>
          </cell>
          <cell r="D637">
            <v>3.3306472444687169E-3</v>
          </cell>
          <cell r="E637">
            <v>3.1390556622818097E-3</v>
          </cell>
          <cell r="F637">
            <v>3.0752108405593457E-3</v>
          </cell>
          <cell r="G637">
            <v>6.0834604911256954E-4</v>
          </cell>
          <cell r="H637">
            <v>1.1161086124245585E-3</v>
          </cell>
          <cell r="I637">
            <v>1.1637549258382378E-3</v>
          </cell>
        </row>
        <row r="638">
          <cell r="A638" t="str">
            <v>D-TH2O</v>
          </cell>
          <cell r="B638" t="str">
            <v>VAR_fin</v>
          </cell>
          <cell r="C638" t="str">
            <v>H2</v>
          </cell>
          <cell r="D638">
            <v>3.3306472444687169E-3</v>
          </cell>
          <cell r="E638">
            <v>3.1390556622818097E-3</v>
          </cell>
          <cell r="F638">
            <v>3.0752108405593457E-3</v>
          </cell>
          <cell r="G638">
            <v>6.0834604911256954E-4</v>
          </cell>
          <cell r="H638">
            <v>1.1247660326823017E-3</v>
          </cell>
          <cell r="I638">
            <v>1.1678569813479026E-3</v>
          </cell>
        </row>
        <row r="639">
          <cell r="A639" t="str">
            <v>D-TH2O</v>
          </cell>
          <cell r="B639" t="str">
            <v>VAR_ncap</v>
          </cell>
          <cell r="C639" t="str">
            <v>-</v>
          </cell>
          <cell r="D639">
            <v>6.13758656429433E-4</v>
          </cell>
          <cell r="E639">
            <v>4.3585679723331E-7</v>
          </cell>
          <cell r="F639">
            <v>3.2328401514928E-7</v>
          </cell>
          <cell r="G639">
            <v>2.9872759527685302E-7</v>
          </cell>
          <cell r="H639">
            <v>9.5746815162235293E-7</v>
          </cell>
          <cell r="I639">
            <v>5.2472445396596104E-7</v>
          </cell>
        </row>
        <row r="640">
          <cell r="A640" t="str">
            <v>D-TH2O</v>
          </cell>
          <cell r="B640" t="str">
            <v>VAR_cap</v>
          </cell>
          <cell r="C640" t="str">
            <v>-</v>
          </cell>
          <cell r="D640">
            <v>6.13758656429433E-4</v>
          </cell>
          <cell r="E640">
            <v>6.1419451322666601E-4</v>
          </cell>
          <cell r="F640">
            <v>6.1451779724181605E-4</v>
          </cell>
          <cell r="G640">
            <v>6.1481652483709199E-4</v>
          </cell>
          <cell r="H640">
            <v>6.1625892822156402E-4</v>
          </cell>
          <cell r="I640">
            <v>6.1678365267553003E-4</v>
          </cell>
        </row>
        <row r="641">
          <cell r="A641" t="str">
            <v>TFHGV-HYBDSL</v>
          </cell>
          <cell r="B641" t="str">
            <v>VAR_fout</v>
          </cell>
          <cell r="C641" t="str">
            <v>CO2_T</v>
          </cell>
          <cell r="E641">
            <v>84.936425570959301</v>
          </cell>
          <cell r="F641">
            <v>306.5781613321376</v>
          </cell>
          <cell r="G641">
            <v>818.28548436624123</v>
          </cell>
          <cell r="H641">
            <v>1125.714930665366</v>
          </cell>
          <cell r="I641">
            <v>1217.2936274155907</v>
          </cell>
        </row>
        <row r="642">
          <cell r="A642" t="str">
            <v>TFHGV-HYBDSL</v>
          </cell>
          <cell r="B642" t="str">
            <v>VAR_fout</v>
          </cell>
          <cell r="C642" t="str">
            <v>TFHGV</v>
          </cell>
          <cell r="E642">
            <v>0.18941732764577487</v>
          </cell>
          <cell r="F642">
            <v>0.6837021412629819</v>
          </cell>
          <cell r="G642">
            <v>1.8248642871189669</v>
          </cell>
          <cell r="H642">
            <v>2.5104648850503102</v>
          </cell>
          <cell r="I642">
            <v>2.7146951889641247</v>
          </cell>
        </row>
        <row r="643">
          <cell r="A643" t="str">
            <v>TFHGV-HYBDSL</v>
          </cell>
          <cell r="B643" t="str">
            <v>VAR_fin</v>
          </cell>
          <cell r="C643" t="str">
            <v>TDSL</v>
          </cell>
          <cell r="E643">
            <v>1.1587506899175897</v>
          </cell>
          <cell r="F643">
            <v>4.1825124329077488</v>
          </cell>
          <cell r="G643">
            <v>11.163512747151996</v>
          </cell>
          <cell r="H643">
            <v>15.357638890386996</v>
          </cell>
          <cell r="I643">
            <v>16.60700719530136</v>
          </cell>
        </row>
        <row r="644">
          <cell r="A644" t="str">
            <v>TFHGV-HYBDSL</v>
          </cell>
          <cell r="B644" t="str">
            <v>VAR_ncap</v>
          </cell>
          <cell r="C644" t="str">
            <v>-</v>
          </cell>
          <cell r="E644">
            <v>3.5634009869081199E-3</v>
          </cell>
          <cell r="F644">
            <v>9.2993286768201094E-3</v>
          </cell>
          <cell r="G644">
            <v>2.6444443154861101E-2</v>
          </cell>
          <cell r="H644">
            <v>2.1615298040733699E-2</v>
          </cell>
          <cell r="I644">
            <v>4.9382361195775201E-2</v>
          </cell>
        </row>
        <row r="645">
          <cell r="A645" t="str">
            <v>TFHGV-HYBDSL</v>
          </cell>
          <cell r="B645" t="str">
            <v>VAR_cap</v>
          </cell>
          <cell r="C645" t="str">
            <v>-</v>
          </cell>
          <cell r="E645">
            <v>3.5634009869081199E-3</v>
          </cell>
          <cell r="F645">
            <v>1.2862729663728201E-2</v>
          </cell>
          <cell r="G645">
            <v>3.43304395487831E-2</v>
          </cell>
          <cell r="H645">
            <v>4.9167155773472498E-2</v>
          </cell>
          <cell r="I645">
            <v>5.3175600372668497E-2</v>
          </cell>
        </row>
        <row r="646">
          <cell r="A646" t="str">
            <v>D-TKER</v>
          </cell>
          <cell r="B646" t="str">
            <v>VAR_fout</v>
          </cell>
          <cell r="C646" t="str">
            <v>CO2</v>
          </cell>
          <cell r="D646">
            <v>80.683447715053006</v>
          </cell>
          <cell r="E646">
            <v>102.298399652996</v>
          </cell>
          <cell r="F646">
            <v>134.50948955266199</v>
          </cell>
          <cell r="G646">
            <v>186.672697499018</v>
          </cell>
          <cell r="H646">
            <v>84.203396732209299</v>
          </cell>
          <cell r="I646">
            <v>54.975393498484898</v>
          </cell>
        </row>
        <row r="647">
          <cell r="A647" t="str">
            <v>D-TKER</v>
          </cell>
          <cell r="B647" t="str">
            <v>VAR_fout</v>
          </cell>
          <cell r="C647" t="str">
            <v>TKER</v>
          </cell>
          <cell r="D647">
            <v>1.0920015840311901</v>
          </cell>
          <cell r="E647">
            <v>1.38454686343411</v>
          </cell>
          <cell r="F647">
            <v>1.82050445064621</v>
          </cell>
          <cell r="G647">
            <v>2.5265018679447402</v>
          </cell>
          <cell r="H647">
            <v>1.1396419614729001</v>
          </cell>
          <cell r="I647">
            <v>0.74405864502841701</v>
          </cell>
        </row>
        <row r="648">
          <cell r="A648" t="str">
            <v>D-TKER</v>
          </cell>
          <cell r="B648" t="str">
            <v>VAR_fin</v>
          </cell>
          <cell r="C648" t="str">
            <v>KER</v>
          </cell>
          <cell r="D648">
            <v>1.108289116965014</v>
          </cell>
          <cell r="E648">
            <v>1.4051977974312553</v>
          </cell>
          <cell r="F648">
            <v>1.8476578235255876</v>
          </cell>
          <cell r="G648">
            <v>2.56418540520629</v>
          </cell>
          <cell r="H648">
            <v>1.1566400650028736</v>
          </cell>
          <cell r="I648">
            <v>0.75515650410006518</v>
          </cell>
        </row>
        <row r="649">
          <cell r="A649" t="str">
            <v>T_B_u-BEVELC-S1</v>
          </cell>
          <cell r="B649" t="str">
            <v>VAR_fout</v>
          </cell>
          <cell r="C649" t="str">
            <v>TPBSu</v>
          </cell>
          <cell r="D649">
            <v>1.329551657402636E-7</v>
          </cell>
          <cell r="E649">
            <v>2.7913683516039085E-4</v>
          </cell>
          <cell r="F649">
            <v>6.5418864035827638E-4</v>
          </cell>
          <cell r="G649">
            <v>0.10979130030982233</v>
          </cell>
          <cell r="H649">
            <v>0.11936060028554067</v>
          </cell>
          <cell r="I649">
            <v>0.12774088716297846</v>
          </cell>
        </row>
        <row r="650">
          <cell r="A650" t="str">
            <v>T_B_u-BEVELC-S1</v>
          </cell>
          <cell r="B650" t="str">
            <v>VAR_fin</v>
          </cell>
          <cell r="C650" t="str">
            <v>T-ELC-Bus_u_BatSTGout_S1</v>
          </cell>
          <cell r="D650">
            <v>3.5108937727208341E-7</v>
          </cell>
          <cell r="E650">
            <v>7.1132973817852906E-4</v>
          </cell>
          <cell r="F650">
            <v>1.6190749302164211E-3</v>
          </cell>
          <cell r="G650">
            <v>0.24545849382374521</v>
          </cell>
          <cell r="H650">
            <v>0.25268286996472239</v>
          </cell>
          <cell r="I650">
            <v>0.24077905693731158</v>
          </cell>
        </row>
        <row r="651">
          <cell r="A651" t="str">
            <v>T_B_u-BEVELC-S1</v>
          </cell>
          <cell r="B651" t="str">
            <v>VAR_ncap</v>
          </cell>
          <cell r="C651" t="str">
            <v>-</v>
          </cell>
          <cell r="E651">
            <v>5.3728049001352102E-6</v>
          </cell>
          <cell r="F651">
            <v>7.2953470540340999E-6</v>
          </cell>
          <cell r="G651">
            <v>2.5486071588865602E-3</v>
          </cell>
          <cell r="H651">
            <v>1.3090624079414899E-4</v>
          </cell>
          <cell r="I651">
            <v>2.64797195054198E-3</v>
          </cell>
        </row>
        <row r="652">
          <cell r="A652" t="str">
            <v>T_B_u-BEVELC-S1</v>
          </cell>
          <cell r="B652" t="str">
            <v>VAR_cap</v>
          </cell>
          <cell r="C652" t="str">
            <v>-</v>
          </cell>
          <cell r="D652">
            <v>3.02390998593531E-8</v>
          </cell>
          <cell r="E652">
            <v>5.4142957580817641E-6</v>
          </cell>
          <cell r="F652">
            <v>1.2690234531503377E-5</v>
          </cell>
          <cell r="G652">
            <v>2.5521165600100064E-3</v>
          </cell>
          <cell r="H652">
            <v>2.759728277300207E-3</v>
          </cell>
          <cell r="I652">
            <v>3.1747760476496367E-3</v>
          </cell>
        </row>
        <row r="653">
          <cell r="A653" t="str">
            <v>TPSHPH2OEXT</v>
          </cell>
          <cell r="B653" t="str">
            <v>VAR_fout</v>
          </cell>
          <cell r="C653" t="str">
            <v>TPSHP</v>
          </cell>
          <cell r="H653">
            <v>1.6779011616240999E-5</v>
          </cell>
          <cell r="I653">
            <v>2.3748826181796899E-5</v>
          </cell>
        </row>
        <row r="654">
          <cell r="A654" t="str">
            <v>TPSHPH2OEXT</v>
          </cell>
          <cell r="B654" t="str">
            <v>VAR_fin</v>
          </cell>
          <cell r="C654" t="str">
            <v>TH2O</v>
          </cell>
          <cell r="H654">
            <v>9.3555701132979787E-6</v>
          </cell>
          <cell r="I654">
            <v>1.3241769749850334E-5</v>
          </cell>
        </row>
        <row r="655">
          <cell r="A655" t="str">
            <v>TPSHPH2OEXT</v>
          </cell>
          <cell r="B655" t="str">
            <v>VAR_ncap</v>
          </cell>
          <cell r="C655" t="str">
            <v>-</v>
          </cell>
          <cell r="H655">
            <v>1.3433728898754E-6</v>
          </cell>
          <cell r="I655">
            <v>1.07630262675442E-6</v>
          </cell>
        </row>
        <row r="656">
          <cell r="A656" t="str">
            <v>TPSHPH2OEXT</v>
          </cell>
          <cell r="B656" t="str">
            <v>VAR_cap</v>
          </cell>
          <cell r="C656" t="str">
            <v>-</v>
          </cell>
          <cell r="H656">
            <v>3.7429183761350102E-6</v>
          </cell>
          <cell r="I656">
            <v>1.1751687353019842E-8</v>
          </cell>
        </row>
        <row r="657">
          <cell r="A657" t="str">
            <v>T_B_u-BEVELC-S2</v>
          </cell>
          <cell r="B657" t="str">
            <v>VAR_fout</v>
          </cell>
          <cell r="C657" t="str">
            <v>TPBSu</v>
          </cell>
          <cell r="D657">
            <v>2.7563184038618418E-4</v>
          </cell>
          <cell r="E657">
            <v>4.7187503552847314E-4</v>
          </cell>
          <cell r="F657">
            <v>7.5690476019534187E-4</v>
          </cell>
          <cell r="G657">
            <v>3.9591308069448598E-2</v>
          </cell>
          <cell r="H657">
            <v>4.3031272664453106E-2</v>
          </cell>
          <cell r="I657">
            <v>4.6070539792932352E-2</v>
          </cell>
        </row>
        <row r="658">
          <cell r="A658" t="str">
            <v>T_B_u-BEVELC-S2</v>
          </cell>
          <cell r="B658" t="str">
            <v>VAR_fin</v>
          </cell>
          <cell r="C658" t="str">
            <v>T-ELC-Bus_u_BatSTGout_S2</v>
          </cell>
          <cell r="D658">
            <v>1.0016394151666072E-3</v>
          </cell>
          <cell r="E658">
            <v>1.6967319167864622E-3</v>
          </cell>
          <cell r="F658">
            <v>2.6502267752301339E-3</v>
          </cell>
          <cell r="G658">
            <v>0.12220929423290988</v>
          </cell>
          <cell r="H658">
            <v>0.12529314014831866</v>
          </cell>
          <cell r="I658">
            <v>0.12057657823156569</v>
          </cell>
        </row>
        <row r="659">
          <cell r="A659" t="str">
            <v>T_B_u-BEVELC-S2</v>
          </cell>
          <cell r="B659" t="str">
            <v>VAR_ncap</v>
          </cell>
          <cell r="C659" t="str">
            <v>-</v>
          </cell>
          <cell r="E659">
            <v>1.2929048042527199E-6</v>
          </cell>
          <cell r="F659">
            <v>5.2309372891601301E-6</v>
          </cell>
          <cell r="G659">
            <v>7.3853737593231202E-4</v>
          </cell>
          <cell r="H659">
            <v>1.04747540266919E-4</v>
          </cell>
          <cell r="I659">
            <v>6.9264257124907098E-4</v>
          </cell>
        </row>
        <row r="660">
          <cell r="A660" t="str">
            <v>T_B_u-BEVELC-S2</v>
          </cell>
          <cell r="B660" t="str">
            <v>VAR_cap</v>
          </cell>
          <cell r="C660" t="str">
            <v>-</v>
          </cell>
          <cell r="D660">
            <v>5.3691660135834808E-6</v>
          </cell>
          <cell r="E660">
            <v>8.9447579449428106E-6</v>
          </cell>
          <cell r="F660">
            <v>1.4239696970949532E-5</v>
          </cell>
          <cell r="G660">
            <v>7.4671963917771127E-4</v>
          </cell>
          <cell r="H660">
            <v>8.1183967944285491E-4</v>
          </cell>
          <cell r="I660">
            <v>8.6904387844335918E-4</v>
          </cell>
        </row>
        <row r="661">
          <cell r="A661" t="str">
            <v>TFHGV-ICEDSL</v>
          </cell>
          <cell r="B661" t="str">
            <v>VAR_fout</v>
          </cell>
          <cell r="C661" t="str">
            <v>CO2_T</v>
          </cell>
          <cell r="D661">
            <v>381.66189186547928</v>
          </cell>
          <cell r="E661">
            <v>447.3889614546556</v>
          </cell>
          <cell r="F661">
            <v>350.8328580806695</v>
          </cell>
          <cell r="G661">
            <v>32.382510768794916</v>
          </cell>
          <cell r="H661">
            <v>0.24992866627303301</v>
          </cell>
          <cell r="I661">
            <v>9.1447944715276799E-2</v>
          </cell>
        </row>
        <row r="662">
          <cell r="A662" t="str">
            <v>TFHGV-ICEDSL</v>
          </cell>
          <cell r="B662" t="str">
            <v>VAR_fout</v>
          </cell>
          <cell r="C662" t="str">
            <v>TFHGV</v>
          </cell>
          <cell r="D662">
            <v>0.61807105171787136</v>
          </cell>
          <cell r="E662">
            <v>0.72451080872047613</v>
          </cell>
          <cell r="F662">
            <v>0.5681458856456475</v>
          </cell>
          <cell r="G662">
            <v>5.2440898383401588E-2</v>
          </cell>
          <cell r="H662">
            <v>4.0473957948168501E-4</v>
          </cell>
          <cell r="I662">
            <v>1.4809266676152859E-4</v>
          </cell>
        </row>
        <row r="663">
          <cell r="A663" t="str">
            <v>TFHGV-ICEDSL</v>
          </cell>
          <cell r="B663" t="str">
            <v>VAR_fin</v>
          </cell>
          <cell r="C663" t="str">
            <v>TDSL</v>
          </cell>
          <cell r="D663">
            <v>5.2068470922984753</v>
          </cell>
          <cell r="E663">
            <v>6.1035328984264074</v>
          </cell>
          <cell r="F663">
            <v>4.7862600011005396</v>
          </cell>
          <cell r="G663">
            <v>0.44178050162066712</v>
          </cell>
          <cell r="H663">
            <v>3.4096680255529727E-3</v>
          </cell>
          <cell r="I663">
            <v>1.2475845118045956E-3</v>
          </cell>
        </row>
        <row r="664">
          <cell r="A664" t="str">
            <v>TFHGV-ICEDSL</v>
          </cell>
          <cell r="B664" t="str">
            <v>VAR_ncap</v>
          </cell>
          <cell r="C664" t="str">
            <v>-</v>
          </cell>
          <cell r="E664">
            <v>1.13538759576798E-6</v>
          </cell>
          <cell r="F664">
            <v>4.2189503891339897E-6</v>
          </cell>
          <cell r="G664">
            <v>4.2835605760363302E-6</v>
          </cell>
          <cell r="H664">
            <v>5.7278666343517403E-6</v>
          </cell>
          <cell r="I664">
            <v>2.3864169413778098E-6</v>
          </cell>
        </row>
        <row r="665">
          <cell r="A665" t="str">
            <v>TFHGV-ICEDSL</v>
          </cell>
          <cell r="B665" t="str">
            <v>VAR_cap</v>
          </cell>
          <cell r="C665" t="str">
            <v>-</v>
          </cell>
          <cell r="D665">
            <v>1.1630117573777221E-2</v>
          </cell>
          <cell r="E665">
            <v>1.3630121989075386E-2</v>
          </cell>
          <cell r="F665">
            <v>1.0691625987044463E-2</v>
          </cell>
          <cell r="G665">
            <v>9.8759796224315213E-4</v>
          </cell>
          <cell r="H665">
            <v>9.6000153785550997E-6</v>
          </cell>
          <cell r="I665">
            <v>3.39159244608279E-6</v>
          </cell>
        </row>
        <row r="666">
          <cell r="A666" t="str">
            <v>D-T-ELC-Bus_u_S1</v>
          </cell>
          <cell r="B666" t="str">
            <v>VAR_fout</v>
          </cell>
          <cell r="C666" t="str">
            <v>T-ELC-Bus_u_BatSTGin_S1</v>
          </cell>
          <cell r="D666">
            <v>1.3637389607235691E-5</v>
          </cell>
          <cell r="E666">
            <v>7.3061858198495571E-4</v>
          </cell>
          <cell r="F666">
            <v>1.6352322257176394E-3</v>
          </cell>
          <cell r="G666">
            <v>0.24562316267129944</v>
          </cell>
          <cell r="H666">
            <v>0.25289616376360158</v>
          </cell>
          <cell r="I666">
            <v>0.24095047037891201</v>
          </cell>
        </row>
        <row r="667">
          <cell r="A667" t="str">
            <v>D-T-ELC-Bus_u_S1</v>
          </cell>
          <cell r="B667" t="str">
            <v>VAR_fin</v>
          </cell>
          <cell r="C667" t="str">
            <v>TELC</v>
          </cell>
          <cell r="D667">
            <v>1.3637389607235691E-5</v>
          </cell>
          <cell r="E667">
            <v>7.3061858198495571E-4</v>
          </cell>
          <cell r="F667">
            <v>1.6352322257176394E-3</v>
          </cell>
          <cell r="G667">
            <v>0.24562316267129944</v>
          </cell>
          <cell r="H667">
            <v>0.25289616376360158</v>
          </cell>
          <cell r="I667">
            <v>0.24095047037891201</v>
          </cell>
        </row>
        <row r="668">
          <cell r="A668" t="str">
            <v>D-T-ELC-Bus_u_S1</v>
          </cell>
          <cell r="B668" t="str">
            <v>VAR_ncap</v>
          </cell>
          <cell r="C668" t="str">
            <v>-</v>
          </cell>
          <cell r="D668">
            <v>1.3807212457646599E-4</v>
          </cell>
          <cell r="E668">
            <v>1.4602002769944499E-4</v>
          </cell>
          <cell r="F668">
            <v>3.5657875549376599E-4</v>
          </cell>
          <cell r="G668">
            <v>2.5378222793231101E-2</v>
          </cell>
          <cell r="H668">
            <v>2.1936304498845101E-2</v>
          </cell>
          <cell r="I668">
            <v>1.44143124684408E-2</v>
          </cell>
        </row>
        <row r="669">
          <cell r="A669" t="str">
            <v>D-T-ELC-Bus_u_S1</v>
          </cell>
          <cell r="B669" t="str">
            <v>VAR_cap</v>
          </cell>
          <cell r="C669" t="str">
            <v>-</v>
          </cell>
          <cell r="D669">
            <v>1.3807212457646599E-4</v>
          </cell>
          <cell r="E669">
            <v>2.8409215227591101E-4</v>
          </cell>
          <cell r="F669">
            <v>6.40670907769677E-4</v>
          </cell>
          <cell r="G669">
            <v>2.5962501515920101E-2</v>
          </cell>
          <cell r="H669">
            <v>2.6731346286197302E-2</v>
          </cell>
          <cell r="I669">
            <v>2.5468132186622101E-2</v>
          </cell>
        </row>
        <row r="670">
          <cell r="A670" t="str">
            <v>T-Plg-DSL-mix_S1</v>
          </cell>
          <cell r="B670" t="str">
            <v>VAR_fout</v>
          </cell>
          <cell r="C670" t="str">
            <v>CO2_T</v>
          </cell>
          <cell r="D670">
            <v>1.2915306224547101E-3</v>
          </cell>
          <cell r="E670">
            <v>4.6848427746203403E-2</v>
          </cell>
          <cell r="F670">
            <v>6.839912201778181E-2</v>
          </cell>
          <cell r="G670">
            <v>6.8666757803322001E-2</v>
          </cell>
          <cell r="H670">
            <v>5.4784941455088818E-2</v>
          </cell>
          <cell r="I670">
            <v>2.900717036341479E-2</v>
          </cell>
        </row>
        <row r="671">
          <cell r="A671" t="str">
            <v>T-Plg-DSL-mix_S1</v>
          </cell>
          <cell r="B671" t="str">
            <v>VAR_fout</v>
          </cell>
          <cell r="C671" t="str">
            <v>T-PEVmix-ELC_DSL_S1</v>
          </cell>
          <cell r="D671">
            <v>1.2834355548828797E-5</v>
          </cell>
          <cell r="E671">
            <v>4.6554790737799671E-4</v>
          </cell>
          <cell r="F671">
            <v>6.7970409368649861E-4</v>
          </cell>
          <cell r="G671">
            <v>6.823636766414001E-4</v>
          </cell>
          <cell r="H671">
            <v>5.7274974743675051E-4</v>
          </cell>
          <cell r="I671">
            <v>3.2818847097582885E-4</v>
          </cell>
        </row>
        <row r="672">
          <cell r="A672" t="str">
            <v>T-Plg-DSL-mix_S1</v>
          </cell>
          <cell r="B672" t="str">
            <v>VAR_fin</v>
          </cell>
          <cell r="C672" t="str">
            <v>TDSL</v>
          </cell>
          <cell r="D672">
            <v>1.7619790210841842E-5</v>
          </cell>
          <cell r="E672">
            <v>6.3913271140795885E-4</v>
          </cell>
          <cell r="F672">
            <v>9.3313945453999845E-4</v>
          </cell>
          <cell r="G672">
            <v>9.3679069308761308E-4</v>
          </cell>
          <cell r="H672">
            <v>7.4740711398483997E-4</v>
          </cell>
          <cell r="I672">
            <v>3.9573220141084355E-4</v>
          </cell>
        </row>
        <row r="673">
          <cell r="A673" t="str">
            <v>T_B_u-BEVELC-S3</v>
          </cell>
          <cell r="B673" t="str">
            <v>VAR_fout</v>
          </cell>
          <cell r="C673" t="str">
            <v>TPBSu</v>
          </cell>
          <cell r="D673">
            <v>6.4397133567005362E-4</v>
          </cell>
          <cell r="E673">
            <v>8.9474268702272085E-4</v>
          </cell>
          <cell r="F673">
            <v>9.9303929278598104E-4</v>
          </cell>
          <cell r="G673">
            <v>9.0924739089199208E-2</v>
          </cell>
          <cell r="H673">
            <v>7.6460521283616578E-2</v>
          </cell>
          <cell r="I673">
            <v>5.1438842755446391E-2</v>
          </cell>
        </row>
        <row r="674">
          <cell r="A674" t="str">
            <v>T_B_u-BEVELC-S3</v>
          </cell>
          <cell r="B674" t="str">
            <v>VAR_fin</v>
          </cell>
          <cell r="C674" t="str">
            <v>T-ELC-Bus_u_BatSTGout_S3</v>
          </cell>
          <cell r="D674">
            <v>3.519538190659604E-3</v>
          </cell>
          <cell r="E674">
            <v>4.8185180442861008E-3</v>
          </cell>
          <cell r="F674">
            <v>5.3153619556817059E-3</v>
          </cell>
          <cell r="G674">
            <v>0.42131548164365562</v>
          </cell>
          <cell r="H674">
            <v>0.32317168336367058</v>
          </cell>
          <cell r="I674">
            <v>0.20386578297778882</v>
          </cell>
        </row>
        <row r="675">
          <cell r="A675" t="str">
            <v>T_B_u-BEVELC-S3</v>
          </cell>
          <cell r="B675" t="str">
            <v>VAR_ncap</v>
          </cell>
          <cell r="C675" t="str">
            <v>-</v>
          </cell>
          <cell r="E675">
            <v>7.1807173201313304E-7</v>
          </cell>
          <cell r="F675">
            <v>1.65302199977074E-6</v>
          </cell>
          <cell r="G675">
            <v>1.70381777822078E-3</v>
          </cell>
          <cell r="H675">
            <v>1.1431210550590699E-3</v>
          </cell>
          <cell r="I675">
            <v>5.7843712996535597E-4</v>
          </cell>
        </row>
        <row r="676">
          <cell r="A676" t="str">
            <v>T_B_u-BEVELC-S3</v>
          </cell>
          <cell r="B676" t="str">
            <v>VAR_cap</v>
          </cell>
          <cell r="C676" t="str">
            <v>-</v>
          </cell>
          <cell r="D676">
            <v>1.59670145905905E-5</v>
          </cell>
          <cell r="E676">
            <v>1.6781828983783529E-5</v>
          </cell>
          <cell r="F676">
            <v>1.8506910553740076E-5</v>
          </cell>
          <cell r="G676">
            <v>1.7144917712713006E-3</v>
          </cell>
          <cell r="H676">
            <v>1.441865335416E-3</v>
          </cell>
          <cell r="I676">
            <v>9.6998037892389601E-4</v>
          </cell>
        </row>
        <row r="677">
          <cell r="A677" t="str">
            <v>D-T-ELC-Bus_u_S2</v>
          </cell>
          <cell r="B677" t="str">
            <v>VAR_fout</v>
          </cell>
          <cell r="C677" t="str">
            <v>T-ELC-Bus_u_BatSTGin_S2</v>
          </cell>
          <cell r="D677">
            <v>9.7789184784244213E-4</v>
          </cell>
          <cell r="E677">
            <v>1.7040523087242553E-3</v>
          </cell>
          <cell r="F677">
            <v>2.6452997297503147E-3</v>
          </cell>
          <cell r="G677">
            <v>0.12233028955265966</v>
          </cell>
          <cell r="H677">
            <v>0.12547092662727577</v>
          </cell>
          <cell r="I677">
            <v>0.12071705822076166</v>
          </cell>
        </row>
        <row r="678">
          <cell r="A678" t="str">
            <v>D-T-ELC-Bus_u_S2</v>
          </cell>
          <cell r="B678" t="str">
            <v>VAR_fin</v>
          </cell>
          <cell r="C678" t="str">
            <v>TELC</v>
          </cell>
          <cell r="D678">
            <v>9.7789184784244213E-4</v>
          </cell>
          <cell r="E678">
            <v>1.7040523087242553E-3</v>
          </cell>
          <cell r="F678">
            <v>2.6452997297503147E-3</v>
          </cell>
          <cell r="G678">
            <v>0.12233028955265966</v>
          </cell>
          <cell r="H678">
            <v>0.12547092662727577</v>
          </cell>
          <cell r="I678">
            <v>0.12071705822076166</v>
          </cell>
        </row>
        <row r="679">
          <cell r="A679" t="str">
            <v>D-T-ELC-Bus_u_S2</v>
          </cell>
          <cell r="B679" t="str">
            <v>VAR_ncap</v>
          </cell>
          <cell r="C679" t="str">
            <v>-</v>
          </cell>
          <cell r="D679">
            <v>1.4216380529949801E-4</v>
          </cell>
          <cell r="E679">
            <v>1.36470947795204E-4</v>
          </cell>
          <cell r="F679">
            <v>2.9587636697666101E-4</v>
          </cell>
          <cell r="G679">
            <v>1.2412854027372499E-2</v>
          </cell>
          <cell r="H679">
            <v>1.07506277141376E-2</v>
          </cell>
          <cell r="I679">
            <v>7.3130870535065102E-3</v>
          </cell>
        </row>
        <row r="680">
          <cell r="A680" t="str">
            <v>D-T-ELC-Bus_u_S2</v>
          </cell>
          <cell r="B680" t="str">
            <v>VAR_cap</v>
          </cell>
          <cell r="C680" t="str">
            <v>-</v>
          </cell>
          <cell r="D680">
            <v>1.4216380529949801E-4</v>
          </cell>
          <cell r="E680">
            <v>2.7863475309470199E-4</v>
          </cell>
          <cell r="F680">
            <v>5.7451112007136202E-4</v>
          </cell>
          <cell r="G680">
            <v>1.29311403605853E-2</v>
          </cell>
          <cell r="H680">
            <v>1.3262898779778501E-2</v>
          </cell>
          <cell r="I680">
            <v>1.27596314346247E-2</v>
          </cell>
        </row>
        <row r="681">
          <cell r="A681" t="str">
            <v>T-Plg-DSL-mix_S2</v>
          </cell>
          <cell r="B681" t="str">
            <v>VAR_fout</v>
          </cell>
          <cell r="C681" t="str">
            <v>CO2_T</v>
          </cell>
          <cell r="D681">
            <v>1.04879214095718E-3</v>
          </cell>
          <cell r="E681">
            <v>5.1123145157507002E-2</v>
          </cell>
          <cell r="F681">
            <v>0.19619810631289841</v>
          </cell>
          <cell r="G681">
            <v>0.2686344156817283</v>
          </cell>
          <cell r="H681">
            <v>0.24291414708108927</v>
          </cell>
          <cell r="I681">
            <v>0.11793705976110341</v>
          </cell>
        </row>
        <row r="682">
          <cell r="A682" t="str">
            <v>T-Plg-DSL-mix_S2</v>
          </cell>
          <cell r="B682" t="str">
            <v>VAR_fout</v>
          </cell>
          <cell r="C682" t="str">
            <v>T-PEVmix-ELC_DSL_S2</v>
          </cell>
          <cell r="D682">
            <v>8.5208861052769797E-6</v>
          </cell>
          <cell r="E682">
            <v>4.1534874282438328E-4</v>
          </cell>
          <cell r="F682">
            <v>1.5940067175155169E-3</v>
          </cell>
          <cell r="G682">
            <v>2.1825137418483849E-3</v>
          </cell>
          <cell r="H682">
            <v>2.0771240643326647E-3</v>
          </cell>
          <cell r="I682">
            <v>1.110422436372016E-3</v>
          </cell>
        </row>
        <row r="683">
          <cell r="A683" t="str">
            <v>T-Plg-DSL-mix_S2</v>
          </cell>
          <cell r="B683" t="str">
            <v>VAR_fin</v>
          </cell>
          <cell r="C683" t="str">
            <v>TDSL</v>
          </cell>
          <cell r="D683">
            <v>1.4308214747028437E-5</v>
          </cell>
          <cell r="E683">
            <v>6.9745082070268719E-4</v>
          </cell>
          <cell r="F683">
            <v>2.6766453794392717E-3</v>
          </cell>
          <cell r="G683">
            <v>3.6648624240344916E-3</v>
          </cell>
          <cell r="H683">
            <v>3.3139719929207207E-3</v>
          </cell>
          <cell r="I683">
            <v>1.6089639803697601E-3</v>
          </cell>
        </row>
        <row r="684">
          <cell r="A684" t="str">
            <v>T_B_u-BEVELC-S4</v>
          </cell>
          <cell r="B684" t="str">
            <v>VAR_fout</v>
          </cell>
          <cell r="C684" t="str">
            <v>TPBSu</v>
          </cell>
          <cell r="D684">
            <v>3.311860234655011E-5</v>
          </cell>
          <cell r="E684">
            <v>3.0837188836500523E-5</v>
          </cell>
          <cell r="F684">
            <v>4.3854463189714547E-5</v>
          </cell>
          <cell r="G684">
            <v>1.4661319195420516E-5</v>
          </cell>
          <cell r="H684">
            <v>1.8827695679565767E-5</v>
          </cell>
          <cell r="I684">
            <v>9.448233653454725E-6</v>
          </cell>
        </row>
        <row r="685">
          <cell r="A685" t="str">
            <v>T_B_u-BEVELC-S4</v>
          </cell>
          <cell r="B685" t="str">
            <v>VAR_fin</v>
          </cell>
          <cell r="C685" t="str">
            <v>T-ELC-Bus_u_BatSTGout_S4</v>
          </cell>
          <cell r="D685">
            <v>2.7149264629810436E-4</v>
          </cell>
          <cell r="E685">
            <v>2.4909101417227024E-4</v>
          </cell>
          <cell r="F685">
            <v>3.4647369946423916E-4</v>
          </cell>
          <cell r="G685">
            <v>1.065173234565135E-4</v>
          </cell>
          <cell r="H685">
            <v>1.1993349580926397E-4</v>
          </cell>
          <cell r="I685">
            <v>5.55483847049334E-5</v>
          </cell>
        </row>
        <row r="686">
          <cell r="A686" t="str">
            <v>T_B_u-BEVELC-S4</v>
          </cell>
          <cell r="B686" t="str">
            <v>VAR_ncap</v>
          </cell>
          <cell r="C686" t="str">
            <v>-</v>
          </cell>
          <cell r="E686">
            <v>2.0468692508617499E-7</v>
          </cell>
          <cell r="F686">
            <v>2.2053286827053801E-7</v>
          </cell>
          <cell r="G686">
            <v>2.1451265910506201E-7</v>
          </cell>
          <cell r="H686">
            <v>3.5965977500933998E-7</v>
          </cell>
          <cell r="I686">
            <v>1.6149745984739299E-7</v>
          </cell>
        </row>
        <row r="687">
          <cell r="A687" t="str">
            <v>T_B_u-BEVELC-S4</v>
          </cell>
          <cell r="B687" t="str">
            <v>VAR_cap</v>
          </cell>
          <cell r="C687" t="str">
            <v>-</v>
          </cell>
          <cell r="D687">
            <v>3.654640865221453E-7</v>
          </cell>
          <cell r="E687">
            <v>4.3564069737952904E-7</v>
          </cell>
          <cell r="F687">
            <v>6.2249071156302094E-7</v>
          </cell>
          <cell r="G687">
            <v>3.2281787305714184E-7</v>
          </cell>
          <cell r="H687">
            <v>4.778624150460581E-7</v>
          </cell>
          <cell r="I687">
            <v>2.2228383251661075E-7</v>
          </cell>
        </row>
        <row r="688">
          <cell r="A688" t="str">
            <v>D-TBDS1</v>
          </cell>
          <cell r="B688" t="str">
            <v>VAR_fout</v>
          </cell>
          <cell r="C688" t="str">
            <v>TDSL</v>
          </cell>
          <cell r="D688">
            <v>2.9720001273337382</v>
          </cell>
          <cell r="E688">
            <v>2.9709478174744071</v>
          </cell>
          <cell r="F688">
            <v>4.4521701594171175</v>
          </cell>
          <cell r="G688">
            <v>3.3143245510002628</v>
          </cell>
          <cell r="H688">
            <v>1.9908329317791864</v>
          </cell>
          <cell r="I688">
            <v>2.0248552537219959</v>
          </cell>
        </row>
        <row r="689">
          <cell r="A689" t="str">
            <v>D-TBDS1</v>
          </cell>
          <cell r="B689" t="str">
            <v>VAR_fout</v>
          </cell>
          <cell r="C689" t="str">
            <v>TKER</v>
          </cell>
          <cell r="D689">
            <v>1.08450082374036E-3</v>
          </cell>
          <cell r="E689">
            <v>1.8850124039495899E-5</v>
          </cell>
          <cell r="F689">
            <v>1.2845282457117501E-3</v>
          </cell>
          <cell r="G689">
            <v>2.39939788077006E-2</v>
          </cell>
          <cell r="H689">
            <v>0.98099788599827398</v>
          </cell>
          <cell r="I689">
            <v>0.94671876368102104</v>
          </cell>
        </row>
        <row r="690">
          <cell r="A690" t="str">
            <v>D-TBDS1</v>
          </cell>
          <cell r="B690" t="str">
            <v>VAR_fin</v>
          </cell>
          <cell r="C690" t="str">
            <v>BDS</v>
          </cell>
          <cell r="D690">
            <v>3.0174259439525333</v>
          </cell>
          <cell r="E690">
            <v>3.0152769586233528</v>
          </cell>
          <cell r="F690">
            <v>4.5198793073294299</v>
          </cell>
          <cell r="G690">
            <v>3.3881025372621503</v>
          </cell>
          <cell r="H690">
            <v>3.0161472445497437</v>
          </cell>
          <cell r="I690">
            <v>3.0158926235696915</v>
          </cell>
        </row>
        <row r="691">
          <cell r="A691" t="str">
            <v>D-T-ELC-Bus_u_S3</v>
          </cell>
          <cell r="B691" t="str">
            <v>VAR_fout</v>
          </cell>
          <cell r="C691" t="str">
            <v>T-ELC-Bus_u_BatSTGin_S3</v>
          </cell>
          <cell r="D691">
            <v>3.4352780760901658E-3</v>
          </cell>
          <cell r="E691">
            <v>4.794282185582862E-3</v>
          </cell>
          <cell r="F691">
            <v>5.2522780681716116E-3</v>
          </cell>
          <cell r="G691">
            <v>0.42138239789359139</v>
          </cell>
          <cell r="H691">
            <v>0.32327815566605872</v>
          </cell>
          <cell r="I691">
            <v>0.20394430647594644</v>
          </cell>
        </row>
        <row r="692">
          <cell r="A692" t="str">
            <v>D-T-ELC-Bus_u_S3</v>
          </cell>
          <cell r="B692" t="str">
            <v>VAR_fin</v>
          </cell>
          <cell r="C692" t="str">
            <v>TELC</v>
          </cell>
          <cell r="D692">
            <v>3.4352780760901658E-3</v>
          </cell>
          <cell r="E692">
            <v>4.794282185582862E-3</v>
          </cell>
          <cell r="F692">
            <v>5.2522780681716116E-3</v>
          </cell>
          <cell r="G692">
            <v>0.42138239789359139</v>
          </cell>
          <cell r="H692">
            <v>0.32327815566605872</v>
          </cell>
          <cell r="I692">
            <v>0.20394430647594644</v>
          </cell>
        </row>
        <row r="693">
          <cell r="A693" t="str">
            <v>D-T-ELC-Bus_u_S3</v>
          </cell>
          <cell r="B693" t="str">
            <v>VAR_ncap</v>
          </cell>
          <cell r="C693" t="str">
            <v>-</v>
          </cell>
          <cell r="D693">
            <v>3.6378991854247201E-4</v>
          </cell>
          <cell r="E693">
            <v>1.4655808431395301E-4</v>
          </cell>
          <cell r="F693">
            <v>1.50081892693086E-4</v>
          </cell>
          <cell r="G693">
            <v>4.4139127281111697E-2</v>
          </cell>
          <cell r="H693">
            <v>2.67472363808424E-2</v>
          </cell>
          <cell r="I693">
            <v>1.23949237094462E-2</v>
          </cell>
        </row>
        <row r="694">
          <cell r="A694" t="str">
            <v>D-T-ELC-Bus_u_S3</v>
          </cell>
          <cell r="B694" t="str">
            <v>VAR_cap</v>
          </cell>
          <cell r="C694" t="str">
            <v>-</v>
          </cell>
          <cell r="D694">
            <v>3.6378991854247201E-4</v>
          </cell>
          <cell r="E694">
            <v>5.1034800285642504E-4</v>
          </cell>
          <cell r="F694">
            <v>6.6042989554951099E-4</v>
          </cell>
          <cell r="G694">
            <v>4.4539680504942801E-2</v>
          </cell>
          <cell r="H694">
            <v>3.4169961272231097E-2</v>
          </cell>
          <cell r="I694">
            <v>2.1556420461578001E-2</v>
          </cell>
        </row>
        <row r="695">
          <cell r="A695" t="str">
            <v>T-Plg-DSL-mix_S3</v>
          </cell>
          <cell r="B695" t="str">
            <v>VAR_fout</v>
          </cell>
          <cell r="C695" t="str">
            <v>CO2_T</v>
          </cell>
          <cell r="D695">
            <v>8.2097353090881606E-3</v>
          </cell>
          <cell r="E695">
            <v>0.99047876662051804</v>
          </cell>
          <cell r="F695">
            <v>106.15120694176821</v>
          </cell>
          <cell r="G695">
            <v>462.31079527042789</v>
          </cell>
          <cell r="H695">
            <v>815.47024049750451</v>
          </cell>
          <cell r="I695">
            <v>586.43571385509915</v>
          </cell>
        </row>
        <row r="696">
          <cell r="A696" t="str">
            <v>T-Plg-DSL-mix_S3</v>
          </cell>
          <cell r="B696" t="str">
            <v>VAR_fout</v>
          </cell>
          <cell r="C696" t="str">
            <v>T-PEVmix-ELC_DSL_S3</v>
          </cell>
          <cell r="D696">
            <v>6.2002309309335056E-5</v>
          </cell>
          <cell r="E696">
            <v>7.4803837809912267E-3</v>
          </cell>
          <cell r="F696">
            <v>0.80168479476761045</v>
          </cell>
          <cell r="G696">
            <v>3.4915056145196757</v>
          </cell>
          <cell r="H696">
            <v>6.5227812362067956</v>
          </cell>
          <cell r="I696">
            <v>5.546488867888038</v>
          </cell>
        </row>
        <row r="697">
          <cell r="A697" t="str">
            <v>T-Plg-DSL-mix_S3</v>
          </cell>
          <cell r="B697" t="str">
            <v>VAR_fin</v>
          </cell>
          <cell r="C697" t="str">
            <v>TDSL</v>
          </cell>
          <cell r="D697">
            <v>1.1200184596300349E-4</v>
          </cell>
          <cell r="E697">
            <v>1.3512670758806536E-2</v>
          </cell>
          <cell r="F697">
            <v>1.4481747195329882</v>
          </cell>
          <cell r="G697">
            <v>6.3071049832254724</v>
          </cell>
          <cell r="H697">
            <v>11.125105600238802</v>
          </cell>
          <cell r="I697">
            <v>8.0004872285825321</v>
          </cell>
        </row>
        <row r="698">
          <cell r="A698" t="str">
            <v>D-T-ELC-Bus_u_S4</v>
          </cell>
          <cell r="B698" t="str">
            <v>VAR_fout</v>
          </cell>
          <cell r="C698" t="str">
            <v>T-ELC-Bus_u_BatSTGin_S4</v>
          </cell>
          <cell r="D698">
            <v>1.608274440028928E-4</v>
          </cell>
          <cell r="E698">
            <v>2.0003285698288513E-4</v>
          </cell>
          <cell r="F698">
            <v>2.9085972485088979E-4</v>
          </cell>
          <cell r="G698">
            <v>2.484980758645328E-4</v>
          </cell>
          <cell r="H698">
            <v>3.0394096206900567E-4</v>
          </cell>
          <cell r="I698">
            <v>1.930924607419957E-4</v>
          </cell>
        </row>
        <row r="699">
          <cell r="A699" t="str">
            <v>D-T-ELC-Bus_u_S4</v>
          </cell>
          <cell r="B699" t="str">
            <v>VAR_fin</v>
          </cell>
          <cell r="C699" t="str">
            <v>TELC</v>
          </cell>
          <cell r="D699">
            <v>1.608274440028928E-4</v>
          </cell>
          <cell r="E699">
            <v>2.0003285698288513E-4</v>
          </cell>
          <cell r="F699">
            <v>2.9085972485088979E-4</v>
          </cell>
          <cell r="G699">
            <v>2.484980758645328E-4</v>
          </cell>
          <cell r="H699">
            <v>3.0394096206900567E-4</v>
          </cell>
          <cell r="I699">
            <v>1.930924607419957E-4</v>
          </cell>
        </row>
        <row r="700">
          <cell r="A700" t="str">
            <v>D-T-ELC-Bus_u_S4</v>
          </cell>
          <cell r="B700" t="str">
            <v>VAR_ncap</v>
          </cell>
          <cell r="C700" t="str">
            <v>-</v>
          </cell>
          <cell r="D700">
            <v>7.4086236921269599E-5</v>
          </cell>
          <cell r="E700">
            <v>5.67574705631767E-5</v>
          </cell>
          <cell r="F700">
            <v>4.0862880432193001E-5</v>
          </cell>
          <cell r="G700">
            <v>5.1161432144491497E-5</v>
          </cell>
          <cell r="H700">
            <v>6.6323181311569106E-5</v>
          </cell>
          <cell r="I700">
            <v>2.5031897456853199E-5</v>
          </cell>
        </row>
        <row r="701">
          <cell r="A701" t="str">
            <v>D-T-ELC-Bus_u_S4</v>
          </cell>
          <cell r="B701" t="str">
            <v>VAR_cap</v>
          </cell>
          <cell r="C701" t="str">
            <v>-</v>
          </cell>
          <cell r="D701">
            <v>7.4086236921269599E-5</v>
          </cell>
          <cell r="E701">
            <v>1.3084370748444601E-4</v>
          </cell>
          <cell r="F701">
            <v>1.71706587916639E-4</v>
          </cell>
          <cell r="G701">
            <v>1.09673647494059E-4</v>
          </cell>
          <cell r="H701">
            <v>1.04658702365973E-4</v>
          </cell>
          <cell r="I701">
            <v>3.6670862101853399E-5</v>
          </cell>
        </row>
        <row r="702">
          <cell r="A702" t="str">
            <v>T_C-FC-H2O-S1</v>
          </cell>
          <cell r="B702" t="str">
            <v>VAR_fout</v>
          </cell>
          <cell r="C702" t="str">
            <v>TPCAR</v>
          </cell>
          <cell r="E702">
            <v>1.830775567329305E-5</v>
          </cell>
          <cell r="F702">
            <v>2.9862455825287678E-5</v>
          </cell>
          <cell r="G702">
            <v>1.7897144546231573E-5</v>
          </cell>
          <cell r="H702">
            <v>2.759535706318967E-5</v>
          </cell>
          <cell r="I702">
            <v>2.2983181695407404E-5</v>
          </cell>
        </row>
        <row r="703">
          <cell r="A703" t="str">
            <v>T_C-FC-H2O-S1</v>
          </cell>
          <cell r="B703" t="str">
            <v>VAR_fin</v>
          </cell>
          <cell r="C703" t="str">
            <v>TH2O</v>
          </cell>
          <cell r="E703">
            <v>1.6695478862257185E-5</v>
          </cell>
          <cell r="F703">
            <v>2.7232611626638638E-5</v>
          </cell>
          <cell r="G703">
            <v>1.6321028300713866E-5</v>
          </cell>
          <cell r="H703">
            <v>2.3130209643028971E-5</v>
          </cell>
          <cell r="I703">
            <v>1.7564982165626898E-5</v>
          </cell>
        </row>
        <row r="704">
          <cell r="A704" t="str">
            <v>T_C-FC-H2O-S1</v>
          </cell>
          <cell r="B704" t="str">
            <v>VAR_ncap</v>
          </cell>
          <cell r="C704" t="str">
            <v>-</v>
          </cell>
          <cell r="E704">
            <v>2.1259015800905398E-6</v>
          </cell>
          <cell r="F704">
            <v>1.7189438601037601E-6</v>
          </cell>
          <cell r="G704">
            <v>8.0857295028319996E-7</v>
          </cell>
          <cell r="H704">
            <v>1.9182336392259802E-6</v>
          </cell>
          <cell r="I704">
            <v>2.0442288671990799E-6</v>
          </cell>
        </row>
        <row r="705">
          <cell r="A705" t="str">
            <v>T_C-FC-H2O-S1</v>
          </cell>
          <cell r="B705" t="str">
            <v>VAR_cap</v>
          </cell>
          <cell r="C705" t="str">
            <v>-</v>
          </cell>
          <cell r="E705">
            <v>2.0975991315180301E-6</v>
          </cell>
          <cell r="F705">
            <v>3.67359462207888E-6</v>
          </cell>
          <cell r="G705">
            <v>2.1992347521503499E-6</v>
          </cell>
          <cell r="H705">
            <v>3.7494068121215465E-6</v>
          </cell>
          <cell r="I705">
            <v>3.14692074025465E-6</v>
          </cell>
        </row>
        <row r="706">
          <cell r="A706" t="str">
            <v>T_B_c-ICEDSL-S1</v>
          </cell>
          <cell r="B706" t="str">
            <v>VAR_fout</v>
          </cell>
          <cell r="C706" t="str">
            <v>CO2_T</v>
          </cell>
          <cell r="D706">
            <v>8.3165777710715503</v>
          </cell>
          <cell r="E706">
            <v>22.744565796599289</v>
          </cell>
          <cell r="F706">
            <v>27.677456701811558</v>
          </cell>
        </row>
        <row r="707">
          <cell r="A707" t="str">
            <v>T_B_c-ICEDSL-S1</v>
          </cell>
          <cell r="B707" t="str">
            <v>VAR_fout</v>
          </cell>
          <cell r="C707" t="str">
            <v>TPBSc</v>
          </cell>
          <cell r="D707">
            <v>1.4059800732927024E-2</v>
          </cell>
          <cell r="E707">
            <v>3.9312863209193812E-2</v>
          </cell>
          <cell r="F707">
            <v>4.8423475164096334E-2</v>
          </cell>
        </row>
        <row r="708">
          <cell r="A708" t="str">
            <v>T_B_c-ICEDSL-S1</v>
          </cell>
          <cell r="B708" t="str">
            <v>VAR_fin</v>
          </cell>
          <cell r="C708" t="str">
            <v>TDSL</v>
          </cell>
          <cell r="D708">
            <v>0.11345945117423699</v>
          </cell>
          <cell r="E708">
            <v>0.31029421277761587</v>
          </cell>
          <cell r="F708">
            <v>0.37759149661407332</v>
          </cell>
        </row>
        <row r="709">
          <cell r="A709" t="str">
            <v>T_B_c-ICEDSL-S1</v>
          </cell>
          <cell r="B709" t="str">
            <v>VAR_ncap</v>
          </cell>
          <cell r="C709" t="str">
            <v>-</v>
          </cell>
          <cell r="E709">
            <v>4.9653711769715196E-4</v>
          </cell>
          <cell r="F709">
            <v>1.9762150896085099E-4</v>
          </cell>
        </row>
        <row r="710">
          <cell r="A710" t="str">
            <v>T_B_c-ICEDSL-S1</v>
          </cell>
          <cell r="B710" t="str">
            <v>VAR_cap</v>
          </cell>
          <cell r="C710" t="str">
            <v>-</v>
          </cell>
          <cell r="D710">
            <v>3.05805288461538E-4</v>
          </cell>
          <cell r="E710">
            <v>8.5573367652970684E-4</v>
          </cell>
          <cell r="F710">
            <v>1.0534778049881973E-3</v>
          </cell>
          <cell r="G710">
            <v>-1.0253264171944734E-8</v>
          </cell>
        </row>
        <row r="711">
          <cell r="A711" t="str">
            <v>T-Plg-DSL-mix_S4</v>
          </cell>
          <cell r="B711" t="str">
            <v>VAR_fout</v>
          </cell>
          <cell r="C711" t="str">
            <v>CO2_T</v>
          </cell>
          <cell r="D711">
            <v>0.41721689573836201</v>
          </cell>
          <cell r="E711">
            <v>1.368083998558778</v>
          </cell>
          <cell r="F711">
            <v>1.4939540537461931</v>
          </cell>
          <cell r="G711">
            <v>1.3805122354805937</v>
          </cell>
          <cell r="H711">
            <v>0.38731003365184458</v>
          </cell>
          <cell r="I711">
            <v>0.19778660116996161</v>
          </cell>
        </row>
        <row r="712">
          <cell r="A712" t="str">
            <v>T-Plg-DSL-mix_S4</v>
          </cell>
          <cell r="B712" t="str">
            <v>VAR_fout</v>
          </cell>
          <cell r="C712" t="str">
            <v>T-PEVmix-ELC_DSL_S4</v>
          </cell>
          <cell r="D712">
            <v>2.9996271070613831E-3</v>
          </cell>
          <cell r="E712">
            <v>9.8359915159986801E-3</v>
          </cell>
          <cell r="F712">
            <v>1.0740948226438932E-2</v>
          </cell>
          <cell r="G712">
            <v>9.9253457026206842E-3</v>
          </cell>
          <cell r="H712">
            <v>2.9248426052167361E-3</v>
          </cell>
          <cell r="I712">
            <v>1.6436007691992252E-3</v>
          </cell>
        </row>
        <row r="713">
          <cell r="A713" t="str">
            <v>T-Plg-DSL-mix_S4</v>
          </cell>
          <cell r="B713" t="str">
            <v>VAR_fin</v>
          </cell>
          <cell r="C713" t="str">
            <v>TDSL</v>
          </cell>
          <cell r="D713">
            <v>5.6919085366761652E-3</v>
          </cell>
          <cell r="E713">
            <v>1.8664174605167512E-2</v>
          </cell>
          <cell r="F713">
            <v>2.0381364989716141E-2</v>
          </cell>
          <cell r="G713">
            <v>1.8833727632750239E-2</v>
          </cell>
          <cell r="H713">
            <v>5.283902232630899E-3</v>
          </cell>
          <cell r="I713">
            <v>2.6983165234646888E-3</v>
          </cell>
        </row>
        <row r="714">
          <cell r="A714" t="str">
            <v>T_C-FC-H2O-S2</v>
          </cell>
          <cell r="B714" t="str">
            <v>VAR_fout</v>
          </cell>
          <cell r="C714" t="str">
            <v>TPCAR</v>
          </cell>
          <cell r="D714">
            <v>7.3516334219729372E-5</v>
          </cell>
          <cell r="E714">
            <v>9.7534529298457662E-5</v>
          </cell>
          <cell r="F714">
            <v>1.0878292377386665E-4</v>
          </cell>
          <cell r="G714">
            <v>4.2972236493942161E-5</v>
          </cell>
          <cell r="H714">
            <v>3.8971558545273817E-5</v>
          </cell>
          <cell r="I714">
            <v>3.7346537433620303E-5</v>
          </cell>
        </row>
        <row r="715">
          <cell r="A715" t="str">
            <v>T_C-FC-H2O-S2</v>
          </cell>
          <cell r="B715" t="str">
            <v>VAR_fin</v>
          </cell>
          <cell r="C715" t="str">
            <v>TH2O</v>
          </cell>
          <cell r="D715">
            <v>8.2464083238559168E-5</v>
          </cell>
          <cell r="E715">
            <v>1.0940555766371711E-4</v>
          </cell>
          <cell r="F715">
            <v>1.2202300585622158E-4</v>
          </cell>
          <cell r="G715">
            <v>4.8202431810487266E-5</v>
          </cell>
          <cell r="H715">
            <v>4.0090770378814537E-5</v>
          </cell>
          <cell r="I715">
            <v>3.47309264836999E-5</v>
          </cell>
        </row>
        <row r="716">
          <cell r="A716" t="str">
            <v>T_C-FC-H2O-S2</v>
          </cell>
          <cell r="B716" t="str">
            <v>VAR_ncap</v>
          </cell>
          <cell r="C716" t="str">
            <v>-</v>
          </cell>
          <cell r="E716">
            <v>1.2484441071343199E-6</v>
          </cell>
          <cell r="F716">
            <v>1.13638509793413E-6</v>
          </cell>
          <cell r="G716">
            <v>7.2472967748971803E-7</v>
          </cell>
          <cell r="H716">
            <v>1.6674299195727299E-6</v>
          </cell>
          <cell r="I716">
            <v>2.1313619686016201E-6</v>
          </cell>
        </row>
        <row r="717">
          <cell r="A717" t="str">
            <v>T_C-FC-H2O-S2</v>
          </cell>
          <cell r="B717" t="str">
            <v>VAR_cap</v>
          </cell>
          <cell r="C717" t="str">
            <v>-</v>
          </cell>
          <cell r="D717">
            <v>6.126097450199857E-6</v>
          </cell>
          <cell r="E717">
            <v>7.5651567156567104E-6</v>
          </cell>
          <cell r="F717">
            <v>8.6159049999142806E-6</v>
          </cell>
          <cell r="G717">
            <v>2.9975981370157686E-6</v>
          </cell>
          <cell r="H717">
            <v>3.3077068946312893E-6</v>
          </cell>
          <cell r="I717">
            <v>3.0565497020257599E-6</v>
          </cell>
        </row>
        <row r="718">
          <cell r="A718" t="str">
            <v>T_B_c-ICEDSL-S2</v>
          </cell>
          <cell r="B718" t="str">
            <v>VAR_fout</v>
          </cell>
          <cell r="C718" t="str">
            <v>CO2_T</v>
          </cell>
          <cell r="D718">
            <v>38.077504450979902</v>
          </cell>
          <cell r="E718">
            <v>29.242555166488096</v>
          </cell>
          <cell r="F718">
            <v>31.408455180490048</v>
          </cell>
        </row>
        <row r="719">
          <cell r="A719" t="str">
            <v>T_B_c-ICEDSL-S2</v>
          </cell>
          <cell r="B719" t="str">
            <v>VAR_fout</v>
          </cell>
          <cell r="C719" t="str">
            <v>TPBSc</v>
          </cell>
          <cell r="D719">
            <v>4.5436305603684224E-2</v>
          </cell>
          <cell r="E719">
            <v>3.5031608086496295E-2</v>
          </cell>
          <cell r="F719">
            <v>3.7620691164082579E-2</v>
          </cell>
        </row>
        <row r="720">
          <cell r="A720" t="str">
            <v>T_B_c-ICEDSL-S2</v>
          </cell>
          <cell r="B720" t="str">
            <v>VAR_fin</v>
          </cell>
          <cell r="C720" t="str">
            <v>TDSL</v>
          </cell>
          <cell r="D720">
            <v>0.51947482197789829</v>
          </cell>
          <cell r="E720">
            <v>0.39894345384022001</v>
          </cell>
          <cell r="F720">
            <v>0.42849188513629038</v>
          </cell>
        </row>
        <row r="721">
          <cell r="A721" t="str">
            <v>T_B_c-ICEDSL-S2</v>
          </cell>
          <cell r="B721" t="str">
            <v>VAR_ncap</v>
          </cell>
          <cell r="C721" t="str">
            <v>-</v>
          </cell>
          <cell r="E721">
            <v>6.5263302922490902E-7</v>
          </cell>
          <cell r="F721">
            <v>9.1816297345239002E-7</v>
          </cell>
        </row>
        <row r="722">
          <cell r="A722" t="str">
            <v>T_B_c-ICEDSL-S2</v>
          </cell>
          <cell r="B722" t="str">
            <v>VAR_cap</v>
          </cell>
          <cell r="C722" t="str">
            <v>-</v>
          </cell>
          <cell r="D722">
            <v>9.8784375000000001E-4</v>
          </cell>
          <cell r="E722">
            <v>8.1660365770160677E-4</v>
          </cell>
          <cell r="F722">
            <v>8.1768653925362329E-4</v>
          </cell>
          <cell r="G722">
            <v>-9.8825384749505127E-9</v>
          </cell>
        </row>
        <row r="723">
          <cell r="A723" t="str">
            <v>T_TW-FCLH2O-S1</v>
          </cell>
          <cell r="B723" t="str">
            <v>VAR_fout</v>
          </cell>
          <cell r="C723" t="str">
            <v>TPTWL</v>
          </cell>
          <cell r="G723">
            <v>1.489227830010475E-4</v>
          </cell>
          <cell r="H723">
            <v>5.1169678310258328E-4</v>
          </cell>
          <cell r="I723">
            <v>3.5709543941901418E-4</v>
          </cell>
        </row>
        <row r="724">
          <cell r="A724" t="str">
            <v>T_TW-FCLH2O-S1</v>
          </cell>
          <cell r="B724" t="str">
            <v>VAR_fin</v>
          </cell>
          <cell r="C724" t="str">
            <v>TH2O</v>
          </cell>
          <cell r="G724">
            <v>3.2101529784992666E-5</v>
          </cell>
          <cell r="H724">
            <v>1.0788200098660687E-4</v>
          </cell>
          <cell r="I724">
            <v>7.3492538748038457E-5</v>
          </cell>
        </row>
        <row r="725">
          <cell r="A725" t="str">
            <v>T_TW-FCLH2O-S1</v>
          </cell>
          <cell r="B725" t="str">
            <v>VAR_ncap</v>
          </cell>
          <cell r="C725" t="str">
            <v>-</v>
          </cell>
          <cell r="G725">
            <v>5.5116209420983497E-5</v>
          </cell>
          <cell r="H725">
            <v>8.85981382277825E-5</v>
          </cell>
          <cell r="I725">
            <v>7.4882513881875006E-5</v>
          </cell>
        </row>
        <row r="726">
          <cell r="A726" t="str">
            <v>T_TW-FCLH2O-S1</v>
          </cell>
          <cell r="B726" t="str">
            <v>VAR_cap</v>
          </cell>
          <cell r="C726" t="str">
            <v>-</v>
          </cell>
          <cell r="G726">
            <v>5.5116209420983497E-5</v>
          </cell>
          <cell r="H726">
            <v>1.9639894251147848E-4</v>
          </cell>
          <cell r="I726">
            <v>1.3647852229699343E-4</v>
          </cell>
        </row>
        <row r="727">
          <cell r="A727" t="str">
            <v>D-T-ELC-TW_Bat_S1</v>
          </cell>
          <cell r="B727" t="str">
            <v>VAR_fout</v>
          </cell>
          <cell r="C727" t="str">
            <v>T-ELC-TWSTGin_S1</v>
          </cell>
          <cell r="D727">
            <v>1.5650172161005165E-3</v>
          </cell>
          <cell r="E727">
            <v>2.1522949099829309E-3</v>
          </cell>
          <cell r="F727">
            <v>2.1882101182787374E-3</v>
          </cell>
          <cell r="G727">
            <v>3.6928886135203921E-3</v>
          </cell>
          <cell r="H727">
            <v>3.4652242542730499E-3</v>
          </cell>
          <cell r="I727">
            <v>2.6751882483863898E-3</v>
          </cell>
        </row>
        <row r="728">
          <cell r="A728" t="str">
            <v>D-T-ELC-TW_Bat_S1</v>
          </cell>
          <cell r="B728" t="str">
            <v>VAR_fin</v>
          </cell>
          <cell r="C728" t="str">
            <v>TELC</v>
          </cell>
          <cell r="D728">
            <v>1.5650172161005165E-3</v>
          </cell>
          <cell r="E728">
            <v>2.1522949099829309E-3</v>
          </cell>
          <cell r="F728">
            <v>2.1882101182787374E-3</v>
          </cell>
          <cell r="G728">
            <v>3.6928886135203921E-3</v>
          </cell>
          <cell r="H728">
            <v>3.4652242542730499E-3</v>
          </cell>
          <cell r="I728">
            <v>2.6751882483863898E-3</v>
          </cell>
        </row>
        <row r="729">
          <cell r="A729" t="str">
            <v>D-T-ELC-TW_Bat_S1</v>
          </cell>
          <cell r="B729" t="str">
            <v>VAR_ncap</v>
          </cell>
          <cell r="C729" t="str">
            <v>-</v>
          </cell>
          <cell r="D729">
            <v>1.8884512711005001E-4</v>
          </cell>
          <cell r="E729">
            <v>4.6038316769022398E-5</v>
          </cell>
          <cell r="F729">
            <v>2.9738872845331802E-6</v>
          </cell>
          <cell r="G729">
            <v>2.09351719599208E-4</v>
          </cell>
          <cell r="H729">
            <v>5.3852681548390497E-5</v>
          </cell>
          <cell r="I729">
            <v>2.0763917927158799E-4</v>
          </cell>
        </row>
        <row r="730">
          <cell r="A730" t="str">
            <v>D-T-ELC-TW_Bat_S1</v>
          </cell>
          <cell r="B730" t="str">
            <v>VAR_cap</v>
          </cell>
          <cell r="C730" t="str">
            <v>-</v>
          </cell>
          <cell r="D730">
            <v>1.8884512711005001E-4</v>
          </cell>
          <cell r="E730">
            <v>2.34883443879072E-4</v>
          </cell>
          <cell r="F730">
            <v>2.3785733116360599E-4</v>
          </cell>
          <cell r="G730">
            <v>3.9044142402388599E-4</v>
          </cell>
          <cell r="H730">
            <v>3.6711637723961402E-4</v>
          </cell>
          <cell r="I730">
            <v>2.8311354733605401E-4</v>
          </cell>
        </row>
        <row r="731">
          <cell r="A731" t="str">
            <v>T_C-FC-H2O-S3</v>
          </cell>
          <cell r="B731" t="str">
            <v>VAR_fout</v>
          </cell>
          <cell r="C731" t="str">
            <v>TPCAR</v>
          </cell>
          <cell r="D731">
            <v>6.3387278511204868E-4</v>
          </cell>
          <cell r="E731">
            <v>1.5512855423787557E-3</v>
          </cell>
          <cell r="F731">
            <v>1.4603523486079204E-3</v>
          </cell>
          <cell r="G731">
            <v>9.5790905929559616E-5</v>
          </cell>
          <cell r="H731">
            <v>3.8689617207691851E-5</v>
          </cell>
          <cell r="I731">
            <v>4.18863882947758E-5</v>
          </cell>
        </row>
        <row r="732">
          <cell r="A732" t="str">
            <v>T_C-FC-H2O-S3</v>
          </cell>
          <cell r="B732" t="str">
            <v>VAR_fin</v>
          </cell>
          <cell r="C732" t="str">
            <v>TH2O</v>
          </cell>
          <cell r="D732">
            <v>7.6369748338192208E-4</v>
          </cell>
          <cell r="E732">
            <v>1.8690073032745762E-3</v>
          </cell>
          <cell r="F732">
            <v>1.7594499080530828E-3</v>
          </cell>
          <cell r="G732">
            <v>1.1541002470448026E-4</v>
          </cell>
          <cell r="H732">
            <v>4.2759139241093998E-5</v>
          </cell>
          <cell r="I732">
            <v>4.1503000567315846E-5</v>
          </cell>
        </row>
        <row r="733">
          <cell r="A733" t="str">
            <v>T_C-FC-H2O-S3</v>
          </cell>
          <cell r="B733" t="str">
            <v>VAR_ncap</v>
          </cell>
          <cell r="C733" t="str">
            <v>-</v>
          </cell>
          <cell r="E733">
            <v>1.0262899382796801E-6</v>
          </cell>
          <cell r="F733">
            <v>8.0029513680518298E-7</v>
          </cell>
          <cell r="G733">
            <v>5.8887019916348296E-7</v>
          </cell>
          <cell r="H733">
            <v>1.3901773565810399E-6</v>
          </cell>
          <cell r="I733">
            <v>2.1620284010250398E-6</v>
          </cell>
        </row>
        <row r="734">
          <cell r="A734" t="str">
            <v>T_C-FC-H2O-S3</v>
          </cell>
          <cell r="B734" t="str">
            <v>VAR_cap</v>
          </cell>
          <cell r="C734" t="str">
            <v>-</v>
          </cell>
          <cell r="D734">
            <v>5.3432148729138271E-5</v>
          </cell>
          <cell r="E734">
            <v>1.0907025789045575E-4</v>
          </cell>
          <cell r="F734">
            <v>1.0461462522357408E-4</v>
          </cell>
          <cell r="G734">
            <v>5.8779726264681465E-6</v>
          </cell>
          <cell r="H734">
            <v>2.7145797520961502E-6</v>
          </cell>
          <cell r="I734">
            <v>2.8671788617584101E-6</v>
          </cell>
        </row>
        <row r="735">
          <cell r="A735" t="str">
            <v>T_B_c-ICEDSL-S3</v>
          </cell>
          <cell r="B735" t="str">
            <v>VAR_fout</v>
          </cell>
          <cell r="C735" t="str">
            <v>CO2_T</v>
          </cell>
          <cell r="D735">
            <v>11.673321912565241</v>
          </cell>
          <cell r="E735">
            <v>9.3618893947092996</v>
          </cell>
          <cell r="F735">
            <v>11.250349603284446</v>
          </cell>
        </row>
        <row r="736">
          <cell r="A736" t="str">
            <v>T_B_c-ICEDSL-S3</v>
          </cell>
          <cell r="B736" t="str">
            <v>VAR_fout</v>
          </cell>
          <cell r="C736" t="str">
            <v>TPBSc</v>
          </cell>
          <cell r="D736">
            <v>9.228697065050348E-3</v>
          </cell>
          <cell r="E736">
            <v>7.4303873530202789E-3</v>
          </cell>
          <cell r="F736">
            <v>8.9251394961026558E-3</v>
          </cell>
        </row>
        <row r="737">
          <cell r="A737" t="str">
            <v>T_B_c-ICEDSL-S3</v>
          </cell>
          <cell r="B737" t="str">
            <v>VAR_fin</v>
          </cell>
          <cell r="C737" t="str">
            <v>TDSL</v>
          </cell>
          <cell r="D737">
            <v>0.1592540506489119</v>
          </cell>
          <cell r="E737">
            <v>0.12772018273818986</v>
          </cell>
          <cell r="F737">
            <v>0.15348362351002007</v>
          </cell>
        </row>
        <row r="738">
          <cell r="A738" t="str">
            <v>T_B_c-ICEDSL-S3</v>
          </cell>
          <cell r="B738" t="str">
            <v>VAR_ncap</v>
          </cell>
          <cell r="C738" t="str">
            <v>-</v>
          </cell>
          <cell r="E738">
            <v>2.6565598985662397E-7</v>
          </cell>
          <cell r="F738">
            <v>2.71831394951924E-7</v>
          </cell>
        </row>
        <row r="739">
          <cell r="A739" t="str">
            <v>T_B_c-ICEDSL-S3</v>
          </cell>
          <cell r="B739" t="str">
            <v>VAR_cap</v>
          </cell>
          <cell r="C739" t="str">
            <v>-</v>
          </cell>
          <cell r="D739">
            <v>2.0109909969591178E-4</v>
          </cell>
          <cell r="E739">
            <v>1.9363211143824091E-4</v>
          </cell>
          <cell r="F739">
            <v>1.9407567281418416E-4</v>
          </cell>
          <cell r="G739">
            <v>-8.7788051184896484E-9</v>
          </cell>
        </row>
        <row r="740">
          <cell r="A740" t="str">
            <v>T_TW-FCLH2O-S2</v>
          </cell>
          <cell r="B740" t="str">
            <v>VAR_fout</v>
          </cell>
          <cell r="C740" t="str">
            <v>TPTWL</v>
          </cell>
          <cell r="G740">
            <v>7.7481059536085696E-5</v>
          </cell>
          <cell r="H740">
            <v>2.5786107801047521E-4</v>
          </cell>
          <cell r="I740">
            <v>1.8819031753729599E-4</v>
          </cell>
        </row>
        <row r="741">
          <cell r="A741" t="str">
            <v>T_TW-FCLH2O-S2</v>
          </cell>
          <cell r="B741" t="str">
            <v>VAR_fin</v>
          </cell>
          <cell r="C741" t="str">
            <v>TH2O</v>
          </cell>
          <cell r="G741">
            <v>2.8687266002060288E-5</v>
          </cell>
          <cell r="H741">
            <v>9.3748204020996072E-5</v>
          </cell>
          <cell r="I741">
            <v>6.7037633368461928E-5</v>
          </cell>
        </row>
        <row r="742">
          <cell r="A742" t="str">
            <v>T_TW-FCLH2O-S2</v>
          </cell>
          <cell r="B742" t="str">
            <v>VAR_ncap</v>
          </cell>
          <cell r="C742" t="str">
            <v>-</v>
          </cell>
          <cell r="G742">
            <v>2.8910196303221399E-5</v>
          </cell>
          <cell r="H742">
            <v>3.83784499052503E-5</v>
          </cell>
          <cell r="I742">
            <v>3.1136254369588301E-5</v>
          </cell>
        </row>
        <row r="743">
          <cell r="A743" t="str">
            <v>T_TW-FCLH2O-S2</v>
          </cell>
          <cell r="B743" t="str">
            <v>VAR_cap</v>
          </cell>
          <cell r="C743" t="str">
            <v>-</v>
          </cell>
          <cell r="G743">
            <v>2.8910196303221399E-5</v>
          </cell>
          <cell r="H743">
            <v>9.883355311713145E-5</v>
          </cell>
          <cell r="I743">
            <v>7.1743248465551079E-5</v>
          </cell>
        </row>
        <row r="744">
          <cell r="A744" t="str">
            <v>D-T-ELC-TW_Bat_S2</v>
          </cell>
          <cell r="B744" t="str">
            <v>VAR_fout</v>
          </cell>
          <cell r="C744" t="str">
            <v>T-ELC-TWSTGin_S2</v>
          </cell>
          <cell r="D744">
            <v>3.5885925700639875E-4</v>
          </cell>
          <cell r="E744">
            <v>4.7778919523623408E-4</v>
          </cell>
          <cell r="F744">
            <v>4.9143888484154516E-4</v>
          </cell>
          <cell r="G744">
            <v>3.420718801020549E-3</v>
          </cell>
          <cell r="H744">
            <v>4.0744840257034573E-3</v>
          </cell>
          <cell r="I744">
            <v>2.8920307451596352E-3</v>
          </cell>
        </row>
        <row r="745">
          <cell r="A745" t="str">
            <v>D-T-ELC-TW_Bat_S2</v>
          </cell>
          <cell r="B745" t="str">
            <v>VAR_fin</v>
          </cell>
          <cell r="C745" t="str">
            <v>TELC</v>
          </cell>
          <cell r="D745">
            <v>3.5885925700639875E-4</v>
          </cell>
          <cell r="E745">
            <v>4.7778919523623408E-4</v>
          </cell>
          <cell r="F745">
            <v>4.9143888484154516E-4</v>
          </cell>
          <cell r="G745">
            <v>3.420718801020549E-3</v>
          </cell>
          <cell r="H745">
            <v>4.0744840257034573E-3</v>
          </cell>
          <cell r="I745">
            <v>2.8920307451596352E-3</v>
          </cell>
        </row>
        <row r="746">
          <cell r="A746" t="str">
            <v>D-T-ELC-TW_Bat_S2</v>
          </cell>
          <cell r="B746" t="str">
            <v>VAR_ncap</v>
          </cell>
          <cell r="C746" t="str">
            <v>-</v>
          </cell>
          <cell r="D746">
            <v>1.0629289539942999E-4</v>
          </cell>
          <cell r="E746">
            <v>6.5446625311459702E-7</v>
          </cell>
          <cell r="F746">
            <v>4.9687524827744998E-6</v>
          </cell>
          <cell r="G746">
            <v>2.49845489195537E-4</v>
          </cell>
          <cell r="H746">
            <v>2.8084215876184401E-6</v>
          </cell>
          <cell r="I746">
            <v>2.01640658277341E-4</v>
          </cell>
        </row>
        <row r="747">
          <cell r="A747" t="str">
            <v>D-T-ELC-TW_Bat_S2</v>
          </cell>
          <cell r="B747" t="str">
            <v>VAR_cap</v>
          </cell>
          <cell r="C747" t="str">
            <v>-</v>
          </cell>
          <cell r="D747">
            <v>1.0629289539942999E-4</v>
          </cell>
          <cell r="E747">
            <v>1.0694736165254501E-4</v>
          </cell>
          <cell r="F747">
            <v>1.11916114135319E-4</v>
          </cell>
          <cell r="G747">
            <v>3.6176160333085603E-4</v>
          </cell>
          <cell r="H747">
            <v>4.3163709016889699E-4</v>
          </cell>
          <cell r="I747">
            <v>3.0598418946138801E-4</v>
          </cell>
        </row>
        <row r="748">
          <cell r="A748" t="str">
            <v>T_C-FC-H2O-S4</v>
          </cell>
          <cell r="B748" t="str">
            <v>VAR_fout</v>
          </cell>
          <cell r="C748" t="str">
            <v>TPCAR</v>
          </cell>
          <cell r="E748">
            <v>1.7261503944005205E-5</v>
          </cell>
          <cell r="F748">
            <v>3.0084269050218159E-5</v>
          </cell>
          <cell r="G748">
            <v>2.9932373104549146E-5</v>
          </cell>
          <cell r="H748">
            <v>3.9610950615475445E-5</v>
          </cell>
          <cell r="I748">
            <v>4.6571410930518215E-5</v>
          </cell>
        </row>
        <row r="749">
          <cell r="A749" t="str">
            <v>T_C-FC-H2O-S4</v>
          </cell>
          <cell r="B749" t="str">
            <v>VAR_fin</v>
          </cell>
          <cell r="C749" t="str">
            <v>TH2O</v>
          </cell>
          <cell r="E749">
            <v>2.0629155362830147E-5</v>
          </cell>
          <cell r="F749">
            <v>3.5953591426757909E-5</v>
          </cell>
          <cell r="G749">
            <v>3.5772061180473667E-5</v>
          </cell>
          <cell r="H749">
            <v>4.3550592555021694E-5</v>
          </cell>
          <cell r="I749">
            <v>4.612024173816023E-5</v>
          </cell>
        </row>
        <row r="750">
          <cell r="A750" t="str">
            <v>T_C-FC-H2O-S4</v>
          </cell>
          <cell r="B750" t="str">
            <v>VAR_ncap</v>
          </cell>
          <cell r="C750" t="str">
            <v>-</v>
          </cell>
          <cell r="E750">
            <v>1.3817349204730701E-6</v>
          </cell>
          <cell r="F750">
            <v>1.0493810129219401E-6</v>
          </cell>
          <cell r="G750">
            <v>7.0086539148377298E-7</v>
          </cell>
          <cell r="H750">
            <v>1.8095402874807801E-6</v>
          </cell>
          <cell r="I750">
            <v>3.07408763693424E-6</v>
          </cell>
        </row>
        <row r="751">
          <cell r="A751" t="str">
            <v>T_C-FC-H2O-S4</v>
          </cell>
          <cell r="B751" t="str">
            <v>VAR_cap</v>
          </cell>
          <cell r="C751" t="str">
            <v>-</v>
          </cell>
          <cell r="E751">
            <v>1.36333967494818E-6</v>
          </cell>
          <cell r="F751">
            <v>2.32071435340243E-6</v>
          </cell>
          <cell r="G751">
            <v>2.2490540076015051E-6</v>
          </cell>
          <cell r="H751">
            <v>3.4502207405795445E-6</v>
          </cell>
          <cell r="I751">
            <v>3.9394667543261996E-6</v>
          </cell>
        </row>
        <row r="752">
          <cell r="A752" t="str">
            <v>T_B_c-ICEDSL-S4</v>
          </cell>
          <cell r="B752" t="str">
            <v>VAR_fout</v>
          </cell>
          <cell r="C752" t="str">
            <v>CO2_T</v>
          </cell>
          <cell r="D752">
            <v>1.0079906304290096</v>
          </cell>
          <cell r="E752">
            <v>1.014829712331659E-2</v>
          </cell>
          <cell r="F752">
            <v>2.0885610802335138E-2</v>
          </cell>
        </row>
        <row r="753">
          <cell r="A753" t="str">
            <v>T_B_c-ICEDSL-S4</v>
          </cell>
          <cell r="B753" t="str">
            <v>VAR_fout</v>
          </cell>
          <cell r="C753" t="str">
            <v>TPBSc</v>
          </cell>
          <cell r="D753">
            <v>5.314500837394296E-4</v>
          </cell>
          <cell r="E753">
            <v>5.3971822685044499E-6</v>
          </cell>
          <cell r="F753">
            <v>1.1158927300865974E-5</v>
          </cell>
        </row>
        <row r="754">
          <cell r="A754" t="str">
            <v>T_B_c-ICEDSL-S4</v>
          </cell>
          <cell r="B754" t="str">
            <v>VAR_fin</v>
          </cell>
          <cell r="C754" t="str">
            <v>TDSL</v>
          </cell>
          <cell r="D754">
            <v>1.3751577495620875E-2</v>
          </cell>
          <cell r="E754">
            <v>1.3844880113665205E-4</v>
          </cell>
          <cell r="F754">
            <v>2.8493329880402668E-4</v>
          </cell>
        </row>
        <row r="755">
          <cell r="A755" t="str">
            <v>T_B_c-ICEDSL-S4</v>
          </cell>
          <cell r="B755" t="str">
            <v>VAR_ncap</v>
          </cell>
          <cell r="C755" t="str">
            <v>-</v>
          </cell>
          <cell r="E755">
            <v>3.1014536236742401E-8</v>
          </cell>
          <cell r="F755">
            <v>2.9852092573583499E-8</v>
          </cell>
        </row>
        <row r="756">
          <cell r="A756" t="str">
            <v>T_B_c-ICEDSL-S4</v>
          </cell>
          <cell r="B756" t="str">
            <v>VAR_cap</v>
          </cell>
          <cell r="C756" t="str">
            <v>-</v>
          </cell>
          <cell r="D756">
            <v>1.1787991091735303E-5</v>
          </cell>
          <cell r="E756">
            <v>2.2992052809494651E-7</v>
          </cell>
          <cell r="F756">
            <v>3.2141420114302168E-7</v>
          </cell>
          <cell r="G756">
            <v>-1.1796937378395286E-8</v>
          </cell>
        </row>
        <row r="757">
          <cell r="A757" t="str">
            <v>D-T-ELC-HGV</v>
          </cell>
          <cell r="B757" t="str">
            <v>VAR_fout</v>
          </cell>
          <cell r="C757" t="str">
            <v>T-ELC-HGV_BatSTGin</v>
          </cell>
          <cell r="D757">
            <v>6.8536909350759428E-3</v>
          </cell>
          <cell r="E757">
            <v>1.8474931174200602E-2</v>
          </cell>
          <cell r="F757">
            <v>1.9045503979415658E-2</v>
          </cell>
          <cell r="G757">
            <v>6.5071011669778182E-3</v>
          </cell>
          <cell r="H757">
            <v>2.0892038063869823E-3</v>
          </cell>
          <cell r="I757">
            <v>9.4398923665233087E-4</v>
          </cell>
        </row>
        <row r="758">
          <cell r="A758" t="str">
            <v>D-T-ELC-HGV</v>
          </cell>
          <cell r="B758" t="str">
            <v>VAR_fin</v>
          </cell>
          <cell r="C758" t="str">
            <v>TELC</v>
          </cell>
          <cell r="D758">
            <v>6.8536909350759428E-3</v>
          </cell>
          <cell r="E758">
            <v>1.8474931174200602E-2</v>
          </cell>
          <cell r="F758">
            <v>1.9045503979415658E-2</v>
          </cell>
          <cell r="G758">
            <v>6.5071011669778182E-3</v>
          </cell>
          <cell r="H758">
            <v>2.0892038063869823E-3</v>
          </cell>
          <cell r="I758">
            <v>9.4398923665233087E-4</v>
          </cell>
        </row>
        <row r="759">
          <cell r="A759" t="str">
            <v>D-T-ELC-HGV</v>
          </cell>
          <cell r="B759" t="str">
            <v>VAR_ncap</v>
          </cell>
          <cell r="C759" t="str">
            <v>-</v>
          </cell>
          <cell r="D759">
            <v>9.5533105847148299E-4</v>
          </cell>
          <cell r="E759">
            <v>1.43953943833094E-3</v>
          </cell>
          <cell r="F759">
            <v>1.31512864212254E-4</v>
          </cell>
          <cell r="G759">
            <v>1.6585712631147801E-4</v>
          </cell>
          <cell r="H759">
            <v>1.70124978089462E-4</v>
          </cell>
          <cell r="I759">
            <v>1.0090418392929001E-4</v>
          </cell>
        </row>
        <row r="760">
          <cell r="A760" t="str">
            <v>D-T-ELC-HGV</v>
          </cell>
          <cell r="B760" t="str">
            <v>VAR_cap</v>
          </cell>
          <cell r="C760" t="str">
            <v>-</v>
          </cell>
          <cell r="D760">
            <v>9.5533105847148299E-4</v>
          </cell>
          <cell r="E760">
            <v>2.3948704968024198E-3</v>
          </cell>
          <cell r="F760">
            <v>2.5263833610146701E-3</v>
          </cell>
          <cell r="G760">
            <v>8.4586248030220303E-4</v>
          </cell>
          <cell r="H760">
            <v>3.0644083031214798E-4</v>
          </cell>
          <cell r="I760">
            <v>1.30759184338767E-4</v>
          </cell>
        </row>
        <row r="761">
          <cell r="A761" t="str">
            <v>T_TW-FCLH2O-S3</v>
          </cell>
          <cell r="B761" t="str">
            <v>VAR_fout</v>
          </cell>
          <cell r="C761" t="str">
            <v>TPTWL</v>
          </cell>
          <cell r="G761">
            <v>4.5105753306597882E-5</v>
          </cell>
          <cell r="H761">
            <v>1.4091016308342773E-4</v>
          </cell>
          <cell r="I761">
            <v>1.4125624807552096E-4</v>
          </cell>
        </row>
        <row r="762">
          <cell r="A762" t="str">
            <v>T_TW-FCLH2O-S3</v>
          </cell>
          <cell r="B762" t="str">
            <v>VAR_fin</v>
          </cell>
          <cell r="C762" t="str">
            <v>TH2O</v>
          </cell>
          <cell r="G762">
            <v>2.5618828747199529E-5</v>
          </cell>
          <cell r="H762">
            <v>7.8764174767965487E-5</v>
          </cell>
          <cell r="I762">
            <v>7.7546616725957689E-5</v>
          </cell>
        </row>
        <row r="763">
          <cell r="A763" t="str">
            <v>T_TW-FCLH2O-S3</v>
          </cell>
          <cell r="B763" t="str">
            <v>VAR_ncap</v>
          </cell>
          <cell r="C763" t="str">
            <v>-</v>
          </cell>
          <cell r="G763">
            <v>1.64514826124977E-5</v>
          </cell>
          <cell r="H763">
            <v>1.67537146264556E-5</v>
          </cell>
          <cell r="I763">
            <v>1.6422134891314501E-5</v>
          </cell>
        </row>
        <row r="764">
          <cell r="A764" t="str">
            <v>T_TW-FCLH2O-S3</v>
          </cell>
          <cell r="B764" t="str">
            <v>VAR_cap</v>
          </cell>
          <cell r="C764" t="str">
            <v>-</v>
          </cell>
          <cell r="G764">
            <v>1.64514826124977E-5</v>
          </cell>
          <cell r="H764">
            <v>5.2918379078078779E-5</v>
          </cell>
          <cell r="I764">
            <v>5.3173147812181217E-5</v>
          </cell>
        </row>
        <row r="765">
          <cell r="A765" t="str">
            <v>D-T-ELC-TW_Bat_S3</v>
          </cell>
          <cell r="B765" t="str">
            <v>VAR_fout</v>
          </cell>
          <cell r="C765" t="str">
            <v>T-ELC-TWSTGin_S3</v>
          </cell>
          <cell r="D765">
            <v>8.7972746457487216E-5</v>
          </cell>
          <cell r="E765">
            <v>1.6584397900746062E-4</v>
          </cell>
          <cell r="F765">
            <v>1.8264040708851784E-4</v>
          </cell>
          <cell r="G765">
            <v>3.8379368339464667E-3</v>
          </cell>
          <cell r="H765">
            <v>7.3052457162811838E-3</v>
          </cell>
          <cell r="I765">
            <v>4.2950350714320538E-3</v>
          </cell>
        </row>
        <row r="766">
          <cell r="A766" t="str">
            <v>D-T-ELC-TW_Bat_S3</v>
          </cell>
          <cell r="B766" t="str">
            <v>VAR_fin</v>
          </cell>
          <cell r="C766" t="str">
            <v>TELC</v>
          </cell>
          <cell r="D766">
            <v>8.7972746457487216E-5</v>
          </cell>
          <cell r="E766">
            <v>1.6584397900746062E-4</v>
          </cell>
          <cell r="F766">
            <v>1.8264040708851784E-4</v>
          </cell>
          <cell r="G766">
            <v>3.8379368339464667E-3</v>
          </cell>
          <cell r="H766">
            <v>7.3052457162811838E-3</v>
          </cell>
          <cell r="I766">
            <v>4.2950350714320538E-3</v>
          </cell>
        </row>
        <row r="767">
          <cell r="A767" t="str">
            <v>D-T-ELC-TW_Bat_S3</v>
          </cell>
          <cell r="B767" t="str">
            <v>VAR_ncap</v>
          </cell>
          <cell r="C767" t="str">
            <v>-</v>
          </cell>
          <cell r="D767">
            <v>1.1441174393505399E-4</v>
          </cell>
          <cell r="E767">
            <v>7.5472457499781703E-7</v>
          </cell>
          <cell r="F767">
            <v>2.6147308284945001E-6</v>
          </cell>
          <cell r="G767">
            <v>2.8815090879918498E-4</v>
          </cell>
          <cell r="H767">
            <v>5.9583869698709896E-6</v>
          </cell>
          <cell r="I767">
            <v>2.6281388090434E-5</v>
          </cell>
        </row>
        <row r="768">
          <cell r="A768" t="str">
            <v>D-T-ELC-TW_Bat_S3</v>
          </cell>
          <cell r="B768" t="str">
            <v>VAR_cap</v>
          </cell>
          <cell r="C768" t="str">
            <v>-</v>
          </cell>
          <cell r="D768">
            <v>1.1441174393505399E-4</v>
          </cell>
          <cell r="E768">
            <v>1.15166468510052E-4</v>
          </cell>
          <cell r="F768">
            <v>1.17781199338546E-4</v>
          </cell>
          <cell r="G768">
            <v>4.0593210813773099E-4</v>
          </cell>
          <cell r="H768">
            <v>7.7299907288352204E-4</v>
          </cell>
          <cell r="I768">
            <v>4.5447960532411899E-4</v>
          </cell>
        </row>
        <row r="769">
          <cell r="A769" t="str">
            <v>T_TW-FCLH2O-S4</v>
          </cell>
          <cell r="B769" t="str">
            <v>VAR_fout</v>
          </cell>
          <cell r="C769" t="str">
            <v>TPTWL</v>
          </cell>
          <cell r="G769">
            <v>2.2434250734015767E-5</v>
          </cell>
          <cell r="H769">
            <v>7.474092634203626E-5</v>
          </cell>
          <cell r="I769">
            <v>9.1285307993607836E-5</v>
          </cell>
        </row>
        <row r="770">
          <cell r="A770" t="str">
            <v>T_TW-FCLH2O-S4</v>
          </cell>
          <cell r="B770" t="str">
            <v>VAR_fin</v>
          </cell>
          <cell r="C770" t="str">
            <v>TH2O</v>
          </cell>
          <cell r="G770">
            <v>1.4362137849939878E-5</v>
          </cell>
          <cell r="H770">
            <v>4.6947733769397771E-5</v>
          </cell>
          <cell r="I770">
            <v>5.6472769765165106E-5</v>
          </cell>
        </row>
        <row r="771">
          <cell r="A771" t="str">
            <v>T_TW-FCLH2O-S4</v>
          </cell>
          <cell r="B771" t="str">
            <v>VAR_ncap</v>
          </cell>
          <cell r="C771" t="str">
            <v>-</v>
          </cell>
          <cell r="G771">
            <v>7.8213464230187401E-6</v>
          </cell>
          <cell r="H771">
            <v>9.2237373794033203E-6</v>
          </cell>
          <cell r="I771">
            <v>8.7195522358421693E-6</v>
          </cell>
        </row>
        <row r="772">
          <cell r="A772" t="str">
            <v>T_TW-FCLH2O-S4</v>
          </cell>
          <cell r="B772" t="str">
            <v>VAR_cap</v>
          </cell>
          <cell r="C772" t="str">
            <v>-</v>
          </cell>
          <cell r="G772">
            <v>7.8213464230187401E-6</v>
          </cell>
          <cell r="H772">
            <v>2.6973272657411223E-5</v>
          </cell>
          <cell r="I772">
            <v>3.2985741006278117E-5</v>
          </cell>
        </row>
        <row r="773">
          <cell r="A773" t="str">
            <v>D-T-ELC-TW_Bat_S4</v>
          </cell>
          <cell r="B773" t="str">
            <v>VAR_fout</v>
          </cell>
          <cell r="C773" t="str">
            <v>T-ELC-TWSTGin_S4</v>
          </cell>
          <cell r="D773">
            <v>5.9606165922714192E-5</v>
          </cell>
          <cell r="E773">
            <v>1.1980590628853328E-4</v>
          </cell>
          <cell r="F773">
            <v>1.4264945836715655E-4</v>
          </cell>
          <cell r="G773">
            <v>3.9218336025168684E-3</v>
          </cell>
          <cell r="H773">
            <v>8.2302414000892717E-3</v>
          </cell>
          <cell r="I773">
            <v>6.6886629644470948E-3</v>
          </cell>
        </row>
        <row r="774">
          <cell r="A774" t="str">
            <v>D-T-ELC-TW_Bat_S4</v>
          </cell>
          <cell r="B774" t="str">
            <v>VAR_fin</v>
          </cell>
          <cell r="C774" t="str">
            <v>TELC</v>
          </cell>
          <cell r="D774">
            <v>5.9606165922714192E-5</v>
          </cell>
          <cell r="E774">
            <v>1.1980590628853328E-4</v>
          </cell>
          <cell r="F774">
            <v>1.4264945836715655E-4</v>
          </cell>
          <cell r="G774">
            <v>3.9218336025168684E-3</v>
          </cell>
          <cell r="H774">
            <v>8.2302414000892717E-3</v>
          </cell>
          <cell r="I774">
            <v>6.6886629644470948E-3</v>
          </cell>
        </row>
        <row r="775">
          <cell r="A775" t="str">
            <v>D-T-ELC-TW_Bat_S4</v>
          </cell>
          <cell r="B775" t="str">
            <v>VAR_ncap</v>
          </cell>
          <cell r="C775" t="str">
            <v>-</v>
          </cell>
          <cell r="D775">
            <v>1.23008241951214E-4</v>
          </cell>
          <cell r="E775">
            <v>7.9602254385847797E-7</v>
          </cell>
          <cell r="F775">
            <v>1.9768008712887101E-6</v>
          </cell>
          <cell r="G775">
            <v>2.8900722933011098E-4</v>
          </cell>
          <cell r="H775">
            <v>6.8031523626034103E-6</v>
          </cell>
          <cell r="I775">
            <v>5.1031603290109797E-5</v>
          </cell>
        </row>
        <row r="776">
          <cell r="A776" t="str">
            <v>D-T-ELC-TW_Bat_S4</v>
          </cell>
          <cell r="B776" t="str">
            <v>VAR_cap</v>
          </cell>
          <cell r="C776" t="str">
            <v>-</v>
          </cell>
          <cell r="D776">
            <v>1.23008241951214E-4</v>
          </cell>
          <cell r="E776">
            <v>1.2380426449507299E-4</v>
          </cell>
          <cell r="F776">
            <v>1.25781065366361E-4</v>
          </cell>
          <cell r="G776">
            <v>4.1478829469647201E-4</v>
          </cell>
          <cell r="H776">
            <v>8.7069013292629402E-4</v>
          </cell>
          <cell r="I776">
            <v>7.07508017582869E-4</v>
          </cell>
        </row>
        <row r="777">
          <cell r="A777" t="str">
            <v>T_B_u-ICENGA-S1</v>
          </cell>
          <cell r="B777" t="str">
            <v>VAR_fout</v>
          </cell>
          <cell r="C777" t="str">
            <v>CO2_T</v>
          </cell>
          <cell r="E777">
            <v>8.5262764267119394E-3</v>
          </cell>
          <cell r="F777">
            <v>6.3315743070225194E-2</v>
          </cell>
          <cell r="G777">
            <v>1.13815347293854E-4</v>
          </cell>
          <cell r="H777">
            <v>7.4039420713012294E-5</v>
          </cell>
          <cell r="I777">
            <v>5.22833704296058E-5</v>
          </cell>
        </row>
        <row r="778">
          <cell r="A778" t="str">
            <v>T_B_u-ICENGA-S1</v>
          </cell>
          <cell r="B778" t="str">
            <v>VAR_fout</v>
          </cell>
          <cell r="C778" t="str">
            <v>TPBSu</v>
          </cell>
          <cell r="E778">
            <v>1.8176920748895561E-5</v>
          </cell>
          <cell r="F778">
            <v>1.4116392958402044E-4</v>
          </cell>
          <cell r="G778">
            <v>2.7795793819294438E-7</v>
          </cell>
          <cell r="H778">
            <v>2.0073332042288548E-7</v>
          </cell>
          <cell r="I778">
            <v>1.558124458822081E-7</v>
          </cell>
        </row>
        <row r="779">
          <cell r="A779" t="str">
            <v>T_B_u-ICENGA-S1</v>
          </cell>
          <cell r="B779" t="str">
            <v>VAR_fin</v>
          </cell>
          <cell r="C779" t="str">
            <v>TNGA</v>
          </cell>
          <cell r="E779">
            <v>1.511751139487933E-4</v>
          </cell>
          <cell r="F779">
            <v>1.1226195579827159E-3</v>
          </cell>
          <cell r="G779">
            <v>2.0180026115931588E-6</v>
          </cell>
          <cell r="H779">
            <v>1.3127556864009273E-6</v>
          </cell>
          <cell r="I779">
            <v>9.2701011400010358E-7</v>
          </cell>
        </row>
        <row r="780">
          <cell r="A780" t="str">
            <v>T_B_u-ICENGA-S1</v>
          </cell>
          <cell r="B780" t="str">
            <v>VAR_ncap</v>
          </cell>
          <cell r="C780" t="str">
            <v>-</v>
          </cell>
          <cell r="E780">
            <v>4.4743781226219899E-7</v>
          </cell>
          <cell r="F780">
            <v>2.3267346834577E-6</v>
          </cell>
          <cell r="G780">
            <v>1.8687864189722501E-8</v>
          </cell>
          <cell r="H780">
            <v>1.81343065828539E-8</v>
          </cell>
          <cell r="I780">
            <v>1.79421798972321E-8</v>
          </cell>
        </row>
        <row r="781">
          <cell r="A781" t="str">
            <v>T_B_u-ICENGA-S1</v>
          </cell>
          <cell r="B781" t="str">
            <v>VAR_cap</v>
          </cell>
          <cell r="C781" t="str">
            <v>-</v>
          </cell>
          <cell r="E781">
            <v>4.4743781226219899E-7</v>
          </cell>
          <cell r="F781">
            <v>2.7741724957199E-6</v>
          </cell>
          <cell r="G781">
            <v>4.1155816654870337E-8</v>
          </cell>
          <cell r="H781">
            <v>3.94045678243176E-8</v>
          </cell>
          <cell r="I781">
            <v>3.0188446988778798E-8</v>
          </cell>
        </row>
        <row r="782">
          <cell r="A782" t="str">
            <v>T_B_u-ICENGA-S2</v>
          </cell>
          <cell r="B782" t="str">
            <v>VAR_fout</v>
          </cell>
          <cell r="C782" t="str">
            <v>CO2_T</v>
          </cell>
          <cell r="E782">
            <v>4.9272786701558702E-3</v>
          </cell>
          <cell r="F782">
            <v>0.96912030276284644</v>
          </cell>
        </row>
        <row r="783">
          <cell r="A783" t="str">
            <v>T_B_u-ICENGA-S2</v>
          </cell>
          <cell r="B783" t="str">
            <v>VAR_fout</v>
          </cell>
          <cell r="C783" t="str">
            <v>TPBSu</v>
          </cell>
          <cell r="E783">
            <v>7.4256951778394178E-6</v>
          </cell>
          <cell r="F783">
            <v>1.5360323585101769E-3</v>
          </cell>
        </row>
        <row r="784">
          <cell r="A784" t="str">
            <v>T_B_u-ICENGA-S2</v>
          </cell>
          <cell r="B784" t="str">
            <v>VAR_fin</v>
          </cell>
          <cell r="C784" t="str">
            <v>TNGA</v>
          </cell>
          <cell r="E784">
            <v>8.7363096988579206E-5</v>
          </cell>
          <cell r="F784">
            <v>1.7182984091539823E-2</v>
          </cell>
        </row>
        <row r="785">
          <cell r="A785" t="str">
            <v>T_B_u-ICENGA-S2</v>
          </cell>
          <cell r="B785" t="str">
            <v>VAR_ncap</v>
          </cell>
          <cell r="C785" t="str">
            <v>-</v>
          </cell>
          <cell r="E785">
            <v>1.8021199279879201E-7</v>
          </cell>
          <cell r="F785">
            <v>2.87779593104002E-5</v>
          </cell>
        </row>
        <row r="786">
          <cell r="A786" t="str">
            <v>T_B_u-ICENGA-S2</v>
          </cell>
          <cell r="B786" t="str">
            <v>VAR_cap</v>
          </cell>
          <cell r="C786" t="str">
            <v>-</v>
          </cell>
          <cell r="E786">
            <v>1.8021199279879201E-7</v>
          </cell>
          <cell r="F786">
            <v>2.8958171303199002E-5</v>
          </cell>
          <cell r="G786">
            <v>1.0156308455099613E-8</v>
          </cell>
        </row>
        <row r="787">
          <cell r="A787" t="str">
            <v>T_B_c-ICEDSLEXT</v>
          </cell>
          <cell r="B787" t="str">
            <v>VAR_fout</v>
          </cell>
          <cell r="C787" t="str">
            <v>CO2_T</v>
          </cell>
          <cell r="D787">
            <v>0.44185775319287801</v>
          </cell>
          <cell r="E787">
            <v>0.44083086680512601</v>
          </cell>
          <cell r="F787">
            <v>0.43762245389585303</v>
          </cell>
        </row>
        <row r="788">
          <cell r="A788" t="str">
            <v>T_B_c-ICEDSLEXT</v>
          </cell>
          <cell r="B788" t="str">
            <v>VAR_fout</v>
          </cell>
          <cell r="C788" t="str">
            <v>TPBSc</v>
          </cell>
          <cell r="D788">
            <v>5.9980831233282995E-2</v>
          </cell>
          <cell r="E788">
            <v>4.7990584127102366E-2</v>
          </cell>
          <cell r="F788">
            <v>2.9994405591526174E-2</v>
          </cell>
        </row>
        <row r="789">
          <cell r="A789" t="str">
            <v>T_B_c-ICEDSLEXT</v>
          </cell>
          <cell r="B789" t="str">
            <v>VAR_fin</v>
          </cell>
          <cell r="C789" t="str">
            <v>TDSL</v>
          </cell>
          <cell r="D789">
            <v>6.0280730312807394E-3</v>
          </cell>
          <cell r="E789">
            <v>6.0140636671913578E-3</v>
          </cell>
          <cell r="F789">
            <v>5.9702926861644441E-3</v>
          </cell>
        </row>
        <row r="790">
          <cell r="A790" t="str">
            <v>T_B_c-ICEDSLEXT</v>
          </cell>
          <cell r="B790" t="str">
            <v>VAR_cap</v>
          </cell>
          <cell r="C790" t="str">
            <v>-</v>
          </cell>
          <cell r="D790">
            <v>1.30332047521267E-3</v>
          </cell>
          <cell r="E790">
            <v>1.04265638017014E-3</v>
          </cell>
          <cell r="F790">
            <v>6.5166023760633498E-4</v>
          </cell>
        </row>
        <row r="791">
          <cell r="A791" t="str">
            <v>T_B_u-ICENGA-S3</v>
          </cell>
          <cell r="B791" t="str">
            <v>VAR_fout</v>
          </cell>
          <cell r="C791" t="str">
            <v>CO2_T</v>
          </cell>
          <cell r="E791">
            <v>4.0268185619776299E-3</v>
          </cell>
          <cell r="F791">
            <v>1.9653058877710718E-2</v>
          </cell>
        </row>
        <row r="792">
          <cell r="A792" t="str">
            <v>T_B_u-ICENGA-S3</v>
          </cell>
          <cell r="B792" t="str">
            <v>VAR_fout</v>
          </cell>
          <cell r="C792" t="str">
            <v>TPBSu</v>
          </cell>
          <cell r="E792">
            <v>4.0283988356044092E-6</v>
          </cell>
          <cell r="F792">
            <v>2.0411001862832305E-5</v>
          </cell>
        </row>
        <row r="793">
          <cell r="A793" t="str">
            <v>T_B_u-ICENGA-S3</v>
          </cell>
          <cell r="B793" t="str">
            <v>VAR_fin</v>
          </cell>
          <cell r="C793" t="str">
            <v>TNGA</v>
          </cell>
          <cell r="E793">
            <v>7.1397492233645887E-5</v>
          </cell>
          <cell r="F793">
            <v>3.4845849073955213E-4</v>
          </cell>
        </row>
        <row r="794">
          <cell r="A794" t="str">
            <v>T_B_u-ICENGA-S3</v>
          </cell>
          <cell r="B794" t="str">
            <v>VAR_ncap</v>
          </cell>
          <cell r="C794" t="str">
            <v>-</v>
          </cell>
          <cell r="E794">
            <v>7.5335485005301994E-8</v>
          </cell>
          <cell r="F794">
            <v>2.6367102107678198E-7</v>
          </cell>
        </row>
        <row r="795">
          <cell r="A795" t="str">
            <v>T_B_u-ICENGA-S3</v>
          </cell>
          <cell r="B795" t="str">
            <v>VAR_cap</v>
          </cell>
          <cell r="C795" t="str">
            <v>-</v>
          </cell>
          <cell r="E795">
            <v>7.5335485005301994E-8</v>
          </cell>
          <cell r="F795">
            <v>3.39006506082084E-7</v>
          </cell>
          <cell r="G795">
            <v>-1.230735884710122E-10</v>
          </cell>
        </row>
        <row r="796">
          <cell r="A796" t="str">
            <v>T_B_u-ICENGA-S4</v>
          </cell>
          <cell r="B796" t="str">
            <v>VAR_fout</v>
          </cell>
          <cell r="C796" t="str">
            <v>CO2_T</v>
          </cell>
          <cell r="F796">
            <v>1.43687928563294E-4</v>
          </cell>
        </row>
        <row r="797">
          <cell r="A797" t="str">
            <v>T_B_u-ICENGA-S4</v>
          </cell>
          <cell r="B797" t="str">
            <v>VAR_fout</v>
          </cell>
          <cell r="C797" t="str">
            <v>TPBSu</v>
          </cell>
          <cell r="F797">
            <v>1.0107510533168891E-7</v>
          </cell>
        </row>
        <row r="798">
          <cell r="A798" t="str">
            <v>T_B_u-ICENGA-S4</v>
          </cell>
          <cell r="B798" t="str">
            <v>VAR_fin</v>
          </cell>
          <cell r="C798" t="str">
            <v>TNGA</v>
          </cell>
          <cell r="F798">
            <v>2.5476583078598264E-6</v>
          </cell>
        </row>
        <row r="799">
          <cell r="A799" t="str">
            <v>T_B_u-ICENGA-S4</v>
          </cell>
          <cell r="B799" t="str">
            <v>VAR_ncap</v>
          </cell>
          <cell r="C799" t="str">
            <v>-</v>
          </cell>
          <cell r="F799">
            <v>1.49918417906468E-8</v>
          </cell>
        </row>
        <row r="800">
          <cell r="A800" t="str">
            <v>T_B_u-ICENGA-S4</v>
          </cell>
          <cell r="B800" t="str">
            <v>VAR_cap</v>
          </cell>
          <cell r="C800" t="str">
            <v>-</v>
          </cell>
          <cell r="F800">
            <v>1.49918417906468E-8</v>
          </cell>
          <cell r="G800">
            <v>-5.0186842453992012E-9</v>
          </cell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>
        <row r="9">
          <cell r="B9">
            <v>18.873178698194675</v>
          </cell>
          <cell r="C9">
            <v>21.777978842058733</v>
          </cell>
          <cell r="D9">
            <v>30.491132851111839</v>
          </cell>
          <cell r="E9">
            <v>45.653975962280214</v>
          </cell>
          <cell r="F9">
            <v>64.849565556456895</v>
          </cell>
          <cell r="G9">
            <v>81.781936196500681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2.4592488013702694E-2</v>
          </cell>
          <cell r="G28">
            <v>0.15660538313312766</v>
          </cell>
        </row>
      </sheetData>
      <sheetData sheetId="31"/>
      <sheetData sheetId="32"/>
      <sheetData sheetId="33">
        <row r="14">
          <cell r="B14">
            <v>82.760000384140142</v>
          </cell>
          <cell r="C14">
            <v>82.759982208110628</v>
          </cell>
          <cell r="D14">
            <v>67.098566715187019</v>
          </cell>
          <cell r="E14">
            <v>69.930793585620876</v>
          </cell>
          <cell r="F14">
            <v>32.820812173468198</v>
          </cell>
          <cell r="G14">
            <v>0</v>
          </cell>
        </row>
        <row r="15">
          <cell r="B15">
            <v>66.745680000010836</v>
          </cell>
          <cell r="C15">
            <v>49.798802112454716</v>
          </cell>
          <cell r="D15">
            <v>68.534387711104714</v>
          </cell>
          <cell r="E15">
            <v>70.34291557821463</v>
          </cell>
          <cell r="F15">
            <v>72.511307323161802</v>
          </cell>
          <cell r="G15">
            <v>74.680995636390534</v>
          </cell>
        </row>
        <row r="16">
          <cell r="B16">
            <v>66.63240058493669</v>
          </cell>
          <cell r="C16">
            <v>55.764004617408034</v>
          </cell>
          <cell r="D16">
            <v>65.55096200066761</v>
          </cell>
          <cell r="E16">
            <v>64.468038140082029</v>
          </cell>
          <cell r="F16">
            <v>62.299668571129772</v>
          </cell>
          <cell r="G16">
            <v>60.129976775260509</v>
          </cell>
        </row>
        <row r="17">
          <cell r="B17">
            <v>12.841922550806515</v>
          </cell>
          <cell r="C17">
            <v>16.03450777607166</v>
          </cell>
          <cell r="D17">
            <v>34.853638586699198</v>
          </cell>
          <cell r="E17">
            <v>12.519511524528049</v>
          </cell>
          <cell r="F17">
            <v>12.738586906476574</v>
          </cell>
          <cell r="G17">
            <v>12.922257430305191</v>
          </cell>
        </row>
        <row r="18">
          <cell r="B18">
            <v>3.9605256571199406E-2</v>
          </cell>
          <cell r="C18">
            <v>9.9995788894033033E-5</v>
          </cell>
          <cell r="D18">
            <v>2.9245202745594827E-3</v>
          </cell>
          <cell r="E18">
            <v>4.931950502794723E-4</v>
          </cell>
          <cell r="F18">
            <v>1.5392566065940336E-3</v>
          </cell>
          <cell r="G18">
            <v>1.9306153477689323E-3</v>
          </cell>
        </row>
        <row r="19">
          <cell r="B19">
            <v>6.5070005492417158</v>
          </cell>
          <cell r="C19">
            <v>7.3027686955955255</v>
          </cell>
          <cell r="D19">
            <v>7.4118958696041393</v>
          </cell>
          <cell r="E19">
            <v>7.3981407610366832</v>
          </cell>
          <cell r="F19">
            <v>7.6680275402036582</v>
          </cell>
          <cell r="G19">
            <v>8.0332779104895167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4.6295950749269038E-2</v>
          </cell>
          <cell r="G21">
            <v>5.8785784535271244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1.04765459983858E-2</v>
          </cell>
          <cell r="G22">
            <v>4.0265372231909945E-3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</row>
        <row r="24">
          <cell r="B24">
            <v>0.96588432301512239</v>
          </cell>
          <cell r="C24">
            <v>4.9159196224799525E-4</v>
          </cell>
          <cell r="D24">
            <v>2.2458114808337638E-3</v>
          </cell>
          <cell r="E24">
            <v>3.0267098597734103E-3</v>
          </cell>
          <cell r="F24">
            <v>0.47291117227983281</v>
          </cell>
          <cell r="G24">
            <v>0.94445611531668761</v>
          </cell>
        </row>
        <row r="25">
          <cell r="B25">
            <v>0.42817183661497926</v>
          </cell>
          <cell r="C25">
            <v>7.8997239795932067E-2</v>
          </cell>
          <cell r="D25">
            <v>9.1283671564890492E-4</v>
          </cell>
          <cell r="E25">
            <v>1.0143359882511593</v>
          </cell>
          <cell r="F25">
            <v>1.5690574959857344</v>
          </cell>
          <cell r="G25">
            <v>1.9764003644981274</v>
          </cell>
        </row>
        <row r="26">
          <cell r="B26">
            <v>1.547549794176057</v>
          </cell>
          <cell r="C26">
            <v>1.4242926839626764</v>
          </cell>
          <cell r="D26">
            <v>1.4395016714202755</v>
          </cell>
          <cell r="E26">
            <v>1.414544249387357</v>
          </cell>
          <cell r="F26">
            <v>1.4036684740636487</v>
          </cell>
          <cell r="G26">
            <v>1.4599645752596013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B28">
            <v>1.8044911880619656E-3</v>
          </cell>
          <cell r="C28">
            <v>7.1584981419488305E-5</v>
          </cell>
          <cell r="D28">
            <v>8.9723076536803723E-4</v>
          </cell>
          <cell r="E28">
            <v>2.7224373817652319E-4</v>
          </cell>
          <cell r="F28">
            <v>5.4843330195919124E-4</v>
          </cell>
          <cell r="G28">
            <v>3.2889646327821155E-4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0.41564401414132779</v>
          </cell>
          <cell r="G29">
            <v>2.1038710448974656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3.6658480908556756E-3</v>
          </cell>
          <cell r="G32">
            <v>2.3471715599023037E-2</v>
          </cell>
        </row>
        <row r="33">
          <cell r="B33">
            <v>0.52400000000000047</v>
          </cell>
          <cell r="C33">
            <v>0.54529218817233771</v>
          </cell>
          <cell r="D33">
            <v>0.50316478650588714</v>
          </cell>
          <cell r="E33">
            <v>0.88470540530052799</v>
          </cell>
          <cell r="F33">
            <v>0.79251205342188069</v>
          </cell>
          <cell r="G33">
            <v>3.1871311584375048</v>
          </cell>
        </row>
        <row r="34">
          <cell r="B34">
            <v>0</v>
          </cell>
          <cell r="C34">
            <v>0</v>
          </cell>
          <cell r="D34">
            <v>0.14081197866949283</v>
          </cell>
          <cell r="E34">
            <v>0.15586649247381029</v>
          </cell>
          <cell r="F34">
            <v>1.4227698751863633</v>
          </cell>
          <cell r="G34">
            <v>5.8688696598798051</v>
          </cell>
        </row>
        <row r="35">
          <cell r="B35">
            <v>3.517953999707534</v>
          </cell>
          <cell r="C35">
            <v>4.8498358630868532</v>
          </cell>
          <cell r="D35">
            <v>11.161629688698701</v>
          </cell>
          <cell r="E35">
            <v>12.110654148324913</v>
          </cell>
          <cell r="F35">
            <v>31.864007505027764</v>
          </cell>
          <cell r="G35">
            <v>41.365270797855707</v>
          </cell>
        </row>
        <row r="36">
          <cell r="B36">
            <v>2.1349390887346629</v>
          </cell>
          <cell r="C36">
            <v>3.3906952529113097</v>
          </cell>
          <cell r="D36">
            <v>4.0431155193030506</v>
          </cell>
          <cell r="E36">
            <v>4.3469912565653077</v>
          </cell>
          <cell r="F36">
            <v>1.5513542777157683</v>
          </cell>
          <cell r="G36">
            <v>4.9783059847589278E-3</v>
          </cell>
        </row>
        <row r="37">
          <cell r="B37">
            <v>0.86248322578584768</v>
          </cell>
          <cell r="C37">
            <v>1.2876147649710539</v>
          </cell>
          <cell r="D37">
            <v>3.4879586719998397</v>
          </cell>
          <cell r="E37">
            <v>3.8198114902017313</v>
          </cell>
          <cell r="F37">
            <v>4.2194482795938359</v>
          </cell>
          <cell r="G37">
            <v>4.6608987449479979</v>
          </cell>
        </row>
        <row r="38">
          <cell r="B38">
            <v>2.8396236857719668</v>
          </cell>
          <cell r="C38">
            <v>3.2944551635429171</v>
          </cell>
          <cell r="D38">
            <v>9.9665054708757328</v>
          </cell>
          <cell r="E38">
            <v>10.737623680634032</v>
          </cell>
          <cell r="F38">
            <v>11.861023481875385</v>
          </cell>
          <cell r="G38">
            <v>13.101950779696397</v>
          </cell>
        </row>
        <row r="39">
          <cell r="B39">
            <v>0.66998788476074311</v>
          </cell>
          <cell r="C39">
            <v>9.0401920171345143E-2</v>
          </cell>
          <cell r="D39">
            <v>6.4727424723071594E-2</v>
          </cell>
          <cell r="E39">
            <v>0.41487864197067348</v>
          </cell>
          <cell r="F39">
            <v>5.9050314483615834E-2</v>
          </cell>
          <cell r="G39">
            <v>1.2759454390333283E-2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  <row r="41">
          <cell r="B41">
            <v>7.0511842016967391E-2</v>
          </cell>
          <cell r="C41">
            <v>0.17136082894022106</v>
          </cell>
          <cell r="D41">
            <v>2.8041051875315566E-3</v>
          </cell>
          <cell r="E41">
            <v>0.17077588745587385</v>
          </cell>
          <cell r="F41">
            <v>1.893119367064558E-2</v>
          </cell>
          <cell r="G41">
            <v>0.16854402677626179</v>
          </cell>
        </row>
        <row r="42">
          <cell r="B42">
            <v>0.17249357746153715</v>
          </cell>
          <cell r="C42">
            <v>0.52164483703263809</v>
          </cell>
          <cell r="D42">
            <v>1.1352984436908105</v>
          </cell>
          <cell r="E42">
            <v>1.5484521156742825</v>
          </cell>
          <cell r="F42">
            <v>2.9695103893394172</v>
          </cell>
          <cell r="G42">
            <v>3.9084452421652069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</row>
        <row r="44">
          <cell r="B44">
            <v>0.23005734825103194</v>
          </cell>
          <cell r="C44">
            <v>0.23016061243705532</v>
          </cell>
          <cell r="D44">
            <v>0.33670874936626743</v>
          </cell>
          <cell r="E44">
            <v>0.33294980798623131</v>
          </cell>
          <cell r="F44">
            <v>0.32752692353389001</v>
          </cell>
          <cell r="G44">
            <v>0.32420354638698484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5.8256590326260442E-4</v>
          </cell>
          <cell r="F47">
            <v>2.9930060515069717E-3</v>
          </cell>
          <cell r="G47">
            <v>2.4630670451596727E-3</v>
          </cell>
        </row>
        <row r="48">
          <cell r="B48">
            <v>1.4276160604853689E-2</v>
          </cell>
          <cell r="C48">
            <v>2.3507487523366875E-3</v>
          </cell>
          <cell r="D48">
            <v>4.018589791342066E-3</v>
          </cell>
          <cell r="E48">
            <v>7.3356372212671963E-3</v>
          </cell>
          <cell r="F48">
            <v>3.8509155973962921E-3</v>
          </cell>
          <cell r="G48">
            <v>2.134562482879211E-3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2.3582201955204426E-4</v>
          </cell>
          <cell r="F49">
            <v>7.739873315117361E-4</v>
          </cell>
          <cell r="G49">
            <v>7.1728875858794935E-4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8.317570214524941E-4</v>
          </cell>
          <cell r="F50">
            <v>1.008359599501858E-3</v>
          </cell>
          <cell r="G50">
            <v>5.9429113020459411E-4</v>
          </cell>
        </row>
        <row r="51">
          <cell r="B51">
            <v>2.8088144027891546E-2</v>
          </cell>
          <cell r="C51">
            <v>2.4981099776036448E-3</v>
          </cell>
          <cell r="D51">
            <v>6.3695401261430924E-3</v>
          </cell>
          <cell r="E51">
            <v>0.66840820406168189</v>
          </cell>
          <cell r="F51">
            <v>3.7159664540676012</v>
          </cell>
          <cell r="G51">
            <v>3.1169759271436233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1.066015288545829E-3</v>
          </cell>
          <cell r="F52">
            <v>6.1161076751966659E-3</v>
          </cell>
          <cell r="G52">
            <v>1.3187560419061857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1.7915263060351476E-3</v>
          </cell>
          <cell r="F53">
            <v>1.7124726149401362E-3</v>
          </cell>
          <cell r="G53">
            <v>9.4035028459093833E-4</v>
          </cell>
        </row>
        <row r="54">
          <cell r="B54">
            <v>0.95937835271700411</v>
          </cell>
          <cell r="C54">
            <v>1.1059591031754912</v>
          </cell>
          <cell r="D54">
            <v>1.1059589226330457</v>
          </cell>
          <cell r="E54">
            <v>1.1059545999885736</v>
          </cell>
          <cell r="F54">
            <v>1.1059560430382105</v>
          </cell>
          <cell r="G54">
            <v>1.1059561576542958</v>
          </cell>
        </row>
        <row r="55">
          <cell r="B55">
            <v>0.59441403777155122</v>
          </cell>
          <cell r="C55">
            <v>0.62589143741754594</v>
          </cell>
          <cell r="D55">
            <v>1.6334125437085855E-2</v>
          </cell>
          <cell r="E55">
            <v>1.6482437977468054E-2</v>
          </cell>
          <cell r="F55">
            <v>2.5233439253347634E-2</v>
          </cell>
          <cell r="G55">
            <v>5.9960829624777312E-4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8.3583743729409067E-4</v>
          </cell>
          <cell r="F56">
            <v>9.741262541709746E-4</v>
          </cell>
          <cell r="G56">
            <v>3.5623737516798194E-4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4.5972379030124024E-4</v>
          </cell>
          <cell r="F58">
            <v>9.2266157363423088E-3</v>
          </cell>
          <cell r="G58">
            <v>5.9332765541372536</v>
          </cell>
        </row>
        <row r="70">
          <cell r="B70">
            <v>9.4552818867075186E-2</v>
          </cell>
          <cell r="C70">
            <v>8.5653396071115311E-3</v>
          </cell>
          <cell r="D70">
            <v>9.4511491869957734E-2</v>
          </cell>
          <cell r="E70">
            <v>3.7705700703371807E-2</v>
          </cell>
          <cell r="F70">
            <v>9.4464787901083758E-2</v>
          </cell>
          <cell r="G70">
            <v>9.4498112511364682E-2</v>
          </cell>
        </row>
        <row r="71">
          <cell r="B71">
            <v>3.5016827323279287E-3</v>
          </cell>
          <cell r="C71">
            <v>2.7479167992972074E-3</v>
          </cell>
          <cell r="D71">
            <v>3.5095655414663328E-3</v>
          </cell>
          <cell r="E71">
            <v>3.2037191212764614E-3</v>
          </cell>
          <cell r="F71">
            <v>8.8165772223394862E-2</v>
          </cell>
          <cell r="G71">
            <v>0.56566588999772205</v>
          </cell>
        </row>
        <row r="72">
          <cell r="B72">
            <v>3.1763917290292521E-3</v>
          </cell>
          <cell r="C72">
            <v>2.5180067806022622E-3</v>
          </cell>
          <cell r="D72">
            <v>3.1486225741633408E-3</v>
          </cell>
          <cell r="E72">
            <v>3.0136556763636028E-3</v>
          </cell>
          <cell r="F72">
            <v>1.3904201086758277E-2</v>
          </cell>
          <cell r="G72">
            <v>2.2980242426084957E-2</v>
          </cell>
        </row>
        <row r="73">
          <cell r="B73">
            <v>1.0137445914231039E-3</v>
          </cell>
          <cell r="C73">
            <v>1.0047477247253289E-3</v>
          </cell>
          <cell r="D73">
            <v>1.0062771728177615E-3</v>
          </cell>
          <cell r="E73">
            <v>3.359084127633917E-2</v>
          </cell>
          <cell r="F73">
            <v>0.25749173705370604</v>
          </cell>
          <cell r="G73">
            <v>0.42489714576489596</v>
          </cell>
        </row>
        <row r="74">
          <cell r="B74">
            <v>2.027579598073208E-3</v>
          </cell>
          <cell r="C74">
            <v>2.0093612367069326E-3</v>
          </cell>
          <cell r="D74">
            <v>2.0145704277232637E-3</v>
          </cell>
          <cell r="E74">
            <v>5.3416043332305173E-2</v>
          </cell>
          <cell r="F74">
            <v>3.4074882520815045E-2</v>
          </cell>
          <cell r="G74">
            <v>2.5341266888554387E-2</v>
          </cell>
        </row>
        <row r="75">
          <cell r="B75">
            <v>2.0270786978741442E-3</v>
          </cell>
          <cell r="C75">
            <v>2.0088476536559846E-3</v>
          </cell>
          <cell r="D75">
            <v>2.0184915505975687E-3</v>
          </cell>
          <cell r="E75">
            <v>5.3625198532973102E-2</v>
          </cell>
          <cell r="F75">
            <v>3.8937443325687576E-2</v>
          </cell>
          <cell r="G75">
            <v>2.5339454025200228E-2</v>
          </cell>
        </row>
        <row r="76">
          <cell r="B76">
            <v>1.0178789636997715E-3</v>
          </cell>
          <cell r="C76">
            <v>1.008867058265944E-3</v>
          </cell>
          <cell r="D76">
            <v>1.0117511040484981E-3</v>
          </cell>
          <cell r="E76">
            <v>3.2859918577346561E-2</v>
          </cell>
          <cell r="F76">
            <v>2.5776475457069247E-2</v>
          </cell>
          <cell r="G76">
            <v>1.6579699668835109E-2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1.3047563013180149E-4</v>
          </cell>
          <cell r="G90">
            <v>1.0818726869459371E-4</v>
          </cell>
        </row>
        <row r="91">
          <cell r="B91">
            <v>1.8035578924335971</v>
          </cell>
          <cell r="C91">
            <v>9.4462097596622837E-4</v>
          </cell>
          <cell r="D91">
            <v>4.498352035790909E-3</v>
          </cell>
          <cell r="E91">
            <v>6.4733206188135667E-3</v>
          </cell>
          <cell r="F91">
            <v>1.0005545683989538</v>
          </cell>
          <cell r="G91">
            <v>1.9769609139696103</v>
          </cell>
        </row>
        <row r="92">
          <cell r="B92">
            <v>1.3804295436150658</v>
          </cell>
          <cell r="C92">
            <v>0.45513188434284246</v>
          </cell>
          <cell r="D92">
            <v>0.47177602639429966</v>
          </cell>
          <cell r="E92">
            <v>2.6527346981178308</v>
          </cell>
          <cell r="F92">
            <v>4.1034230900783122</v>
          </cell>
          <cell r="G92">
            <v>5.1686841631999139</v>
          </cell>
        </row>
        <row r="93">
          <cell r="B93">
            <v>14.461273823205698</v>
          </cell>
          <cell r="C93">
            <v>13.051652368285692</v>
          </cell>
          <cell r="D93">
            <v>13.178172808053755</v>
          </cell>
          <cell r="E93">
            <v>12.779638775435993</v>
          </cell>
          <cell r="F93">
            <v>12.034793575810651</v>
          </cell>
          <cell r="G93">
            <v>11.399076465848967</v>
          </cell>
        </row>
        <row r="94">
          <cell r="B94">
            <v>9.2802403957472409E-3</v>
          </cell>
          <cell r="C94">
            <v>3.6815133301451092E-4</v>
          </cell>
          <cell r="D94">
            <v>4.6143296504641907E-3</v>
          </cell>
          <cell r="E94">
            <v>1.4001106534792611E-3</v>
          </cell>
          <cell r="F94">
            <v>2.8205141243615537E-3</v>
          </cell>
          <cell r="G94">
            <v>1.6914675254308014E-3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0.52994611803019287</v>
          </cell>
          <cell r="G95">
            <v>2.7876291344891406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B97">
            <v>1.7329152114270885</v>
          </cell>
          <cell r="C97">
            <v>2.7413492172549532</v>
          </cell>
          <cell r="D97">
            <v>0.93708670170805142</v>
          </cell>
          <cell r="E97">
            <v>3.0672592498322988</v>
          </cell>
          <cell r="F97">
            <v>2.7452260880929478</v>
          </cell>
          <cell r="G97">
            <v>8.2524421326983753E-3</v>
          </cell>
        </row>
        <row r="98">
          <cell r="B98">
            <v>0.90178691719900905</v>
          </cell>
          <cell r="C98">
            <v>0.90177958861096252</v>
          </cell>
          <cell r="D98">
            <v>0.90178159813348824</v>
          </cell>
          <cell r="E98">
            <v>0.9017772717137198</v>
          </cell>
          <cell r="F98">
            <v>0.90178130466546236</v>
          </cell>
          <cell r="G98">
            <v>0.90178385822000784</v>
          </cell>
        </row>
        <row r="99">
          <cell r="B99">
            <v>1.4500356790805038</v>
          </cell>
          <cell r="C99">
            <v>3.8018551181461344</v>
          </cell>
          <cell r="D99">
            <v>3.8005505190406987</v>
          </cell>
          <cell r="E99">
            <v>1.0694499572352101</v>
          </cell>
          <cell r="F99">
            <v>0</v>
          </cell>
          <cell r="G99">
            <v>0</v>
          </cell>
        </row>
        <row r="100">
          <cell r="B100">
            <v>0.18409027775169159</v>
          </cell>
          <cell r="C100">
            <v>0.18580257000482386</v>
          </cell>
          <cell r="D100">
            <v>1.1793179539563382E-3</v>
          </cell>
          <cell r="E100">
            <v>5.3135706861661325E-4</v>
          </cell>
          <cell r="F100">
            <v>2.5130082141975132E-4</v>
          </cell>
          <cell r="G100">
            <v>1.8199893942512366E-4</v>
          </cell>
        </row>
        <row r="101">
          <cell r="B101">
            <v>1.1346704759087218</v>
          </cell>
          <cell r="C101">
            <v>1.024035848731865</v>
          </cell>
          <cell r="D101">
            <v>0.87798315281001638</v>
          </cell>
          <cell r="E101">
            <v>0.6793627036482055</v>
          </cell>
          <cell r="F101">
            <v>0.40678378396637915</v>
          </cell>
          <cell r="G101">
            <v>0.24356281019226314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3.7235337147566177E-5</v>
          </cell>
          <cell r="F102">
            <v>4.3238955235127233E-5</v>
          </cell>
          <cell r="G102">
            <v>4.3748747265202748E-5</v>
          </cell>
        </row>
        <row r="103">
          <cell r="F103">
            <v>6.688086431111355E-2</v>
          </cell>
          <cell r="G103">
            <v>1.4102554852473671E-2</v>
          </cell>
        </row>
        <row r="104">
          <cell r="B104">
            <v>0.92947428113275277</v>
          </cell>
          <cell r="C104">
            <v>2.0709484585605802</v>
          </cell>
          <cell r="D104">
            <v>2.9276382545590264E-2</v>
          </cell>
          <cell r="E104">
            <v>1.314849508620662</v>
          </cell>
          <cell r="F104">
            <v>4.1965154937227203E-2</v>
          </cell>
          <cell r="G104">
            <v>0.37361490883573978</v>
          </cell>
        </row>
        <row r="105">
          <cell r="B105">
            <v>0.65968931384381047</v>
          </cell>
          <cell r="C105">
            <v>1.8166905014402606</v>
          </cell>
          <cell r="D105">
            <v>3.3717301616590234</v>
          </cell>
          <cell r="E105">
            <v>3.2755717831571438</v>
          </cell>
          <cell r="F105">
            <v>6.2816565928333938</v>
          </cell>
          <cell r="G105">
            <v>8.2678649353494897</v>
          </cell>
        </row>
        <row r="106">
          <cell r="B106">
            <v>1.9349254428169831</v>
          </cell>
          <cell r="C106">
            <v>1.8587918092655271</v>
          </cell>
          <cell r="D106">
            <v>2.5503082954781395</v>
          </cell>
          <cell r="E106">
            <v>2.2433593950249899</v>
          </cell>
          <cell r="F106">
            <v>1.6589366192440307</v>
          </cell>
          <cell r="G106">
            <v>1.0997786029778243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2.9128295163130221E-4</v>
          </cell>
          <cell r="F107">
            <v>1.3454797846224004E-3</v>
          </cell>
          <cell r="G107">
            <v>9.9386915857320197E-4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09">
          <cell r="B109">
            <v>4.0097262576546826E-2</v>
          </cell>
          <cell r="C109">
            <v>5.915731011713006E-3</v>
          </cell>
          <cell r="D109">
            <v>1.4647441489524578E-2</v>
          </cell>
          <cell r="E109">
            <v>2.1792533709253985E-2</v>
          </cell>
          <cell r="F109">
            <v>3.9921156030347578E-2</v>
          </cell>
          <cell r="G109">
            <v>3.6162945092310675E-2</v>
          </cell>
        </row>
        <row r="110">
          <cell r="B110">
            <v>1.0437898746063099E-3</v>
          </cell>
          <cell r="C110">
            <v>5.3738323770554427E-4</v>
          </cell>
          <cell r="D110">
            <v>4.5873805338775948E-4</v>
          </cell>
          <cell r="E110">
            <v>4.4933694575082584E-3</v>
          </cell>
          <cell r="F110">
            <v>1.0000982806783663E-2</v>
          </cell>
          <cell r="G110">
            <v>8.6665313309734447E-3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B112">
            <v>8.906200307630821E-2</v>
          </cell>
          <cell r="C112">
            <v>5.6829455977522913E-3</v>
          </cell>
          <cell r="D112">
            <v>1.9972381936396118E-2</v>
          </cell>
          <cell r="E112">
            <v>1.4149489114686447</v>
          </cell>
          <cell r="F112">
            <v>34.608482248533932</v>
          </cell>
          <cell r="G112">
            <v>47.987031891138066</v>
          </cell>
        </row>
        <row r="113">
          <cell r="B113">
            <v>1.0705770042121312E-3</v>
          </cell>
          <cell r="C113">
            <v>5.375706229101085E-4</v>
          </cell>
          <cell r="D113">
            <v>4.7840528165674068E-4</v>
          </cell>
          <cell r="E113">
            <v>7.6678201386571297E-3</v>
          </cell>
          <cell r="F113">
            <v>1.5342569604768558E-2</v>
          </cell>
          <cell r="G113">
            <v>1.3005352575900953E-2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</row>
        <row r="115">
          <cell r="B115">
            <v>1.4243287717123752</v>
          </cell>
          <cell r="C115">
            <v>1.5783458015457386</v>
          </cell>
          <cell r="D115">
            <v>1.4829422563040695</v>
          </cell>
          <cell r="E115">
            <v>1.3239316023850431</v>
          </cell>
          <cell r="F115">
            <v>1.005923199244338</v>
          </cell>
          <cell r="G115">
            <v>1.0059233034934909</v>
          </cell>
        </row>
        <row r="116">
          <cell r="B116">
            <v>0.69259509160404931</v>
          </cell>
          <cell r="C116">
            <v>0.75022824803953425</v>
          </cell>
          <cell r="D116">
            <v>2.0399356513237456E-2</v>
          </cell>
          <cell r="E116">
            <v>2.1964273004481921E-2</v>
          </cell>
          <cell r="F116">
            <v>3.7850439865843626E-2</v>
          </cell>
          <cell r="G116">
            <v>8.9941244437166017E-4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1.3358089934865324E-3</v>
          </cell>
          <cell r="F117">
            <v>1.4897135968780289E-3</v>
          </cell>
          <cell r="G117">
            <v>5.2321874118104123E-4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1.3791713709037216E-4</v>
          </cell>
          <cell r="F118">
            <v>2.7226079221993743E-3</v>
          </cell>
          <cell r="G118">
            <v>1.7225641608785551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</row>
        <row r="123">
          <cell r="B123">
            <v>0</v>
          </cell>
          <cell r="C123">
            <v>3.3821522895453033</v>
          </cell>
          <cell r="D123">
            <v>3.4846357368447864</v>
          </cell>
          <cell r="E123">
            <v>3.6623887100444561</v>
          </cell>
          <cell r="F123">
            <v>4.045560866772175</v>
          </cell>
          <cell r="G123">
            <v>4.4688183752481097</v>
          </cell>
        </row>
      </sheetData>
      <sheetData sheetId="34">
        <row r="13">
          <cell r="B13">
            <v>16.052406182846379</v>
          </cell>
          <cell r="C13">
            <v>20.04313886977123</v>
          </cell>
          <cell r="D13">
            <v>43.567049647548004</v>
          </cell>
          <cell r="E13">
            <v>15.64938900325212</v>
          </cell>
          <cell r="F13">
            <v>15.923231830990986</v>
          </cell>
          <cell r="G13">
            <v>16.152819405306158</v>
          </cell>
        </row>
        <row r="14">
          <cell r="B14">
            <v>250.94820662263976</v>
          </cell>
          <cell r="C14">
            <v>253.29997126607847</v>
          </cell>
          <cell r="D14">
            <v>206.08389501720902</v>
          </cell>
          <cell r="E14">
            <v>211.89116348138847</v>
          </cell>
          <cell r="F14">
            <v>98.945536106252703</v>
          </cell>
          <cell r="G14">
            <v>0</v>
          </cell>
        </row>
        <row r="15">
          <cell r="B15">
            <v>66.745680000010836</v>
          </cell>
          <cell r="C15">
            <v>49.798802112454716</v>
          </cell>
          <cell r="D15">
            <v>68.534387711104714</v>
          </cell>
          <cell r="E15">
            <v>70.34291557821463</v>
          </cell>
          <cell r="F15">
            <v>72.511307323161802</v>
          </cell>
          <cell r="G15">
            <v>74.680995636390534</v>
          </cell>
        </row>
        <row r="16">
          <cell r="B16">
            <v>66.63240058493669</v>
          </cell>
          <cell r="C16">
            <v>55.764004617408034</v>
          </cell>
          <cell r="D16">
            <v>65.55096200066761</v>
          </cell>
          <cell r="E16">
            <v>64.468038140082029</v>
          </cell>
          <cell r="F16">
            <v>62.299668571129772</v>
          </cell>
          <cell r="G16">
            <v>60.129976775260509</v>
          </cell>
        </row>
        <row r="18">
          <cell r="B18">
            <v>0.12005939338268476</v>
          </cell>
          <cell r="C18">
            <v>7.2332412059240674E-4</v>
          </cell>
          <cell r="D18">
            <v>1.0303827784797766E-2</v>
          </cell>
          <cell r="E18">
            <v>1.758009008572451E-3</v>
          </cell>
          <cell r="F18">
            <v>4.8900841178543429E-3</v>
          </cell>
          <cell r="G18">
            <v>6.145210840095134E-3</v>
          </cell>
        </row>
        <row r="19">
          <cell r="B19">
            <v>18.203592015187258</v>
          </cell>
          <cell r="C19">
            <v>20.429784953897649</v>
          </cell>
          <cell r="D19">
            <v>20.735072549678556</v>
          </cell>
          <cell r="E19">
            <v>20.696592088121555</v>
          </cell>
          <cell r="F19">
            <v>21.451611052861157</v>
          </cell>
          <cell r="G19">
            <v>22.473413444572166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7.526755578425802E-2</v>
          </cell>
          <cell r="G21">
            <v>9.3642916758914669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2.5839681183142223E-2</v>
          </cell>
          <cell r="G22">
            <v>9.7313630471531701E-3</v>
          </cell>
          <cell r="L22">
            <v>2.5643776351052114</v>
          </cell>
          <cell r="M22">
            <v>1.4219940143556786</v>
          </cell>
          <cell r="N22">
            <v>0.36024830581124961</v>
          </cell>
          <cell r="O22">
            <v>1.7916001070248395</v>
          </cell>
          <cell r="P22">
            <v>5.0681101045884054</v>
          </cell>
          <cell r="Q22">
            <v>11.265083732351565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1.7084408318878983E-4</v>
          </cell>
          <cell r="G23">
            <v>1.013808602849611E-4</v>
          </cell>
          <cell r="L23">
            <v>6.6556280794937653E-2</v>
          </cell>
          <cell r="M23">
            <v>2.9010787550061892E-2</v>
          </cell>
          <cell r="N23">
            <v>2.4802708880645806E-2</v>
          </cell>
          <cell r="O23">
            <v>0.17051884735899567</v>
          </cell>
          <cell r="P23">
            <v>0.14867936256268197</v>
          </cell>
          <cell r="Q23">
            <v>0.14558083176941369</v>
          </cell>
        </row>
        <row r="24">
          <cell r="B24">
            <v>3.6797478166567394</v>
          </cell>
          <cell r="C24">
            <v>2.3116626724068103E-3</v>
          </cell>
          <cell r="D24">
            <v>1.1513304644759276E-2</v>
          </cell>
          <cell r="E24">
            <v>1.2614584121321036E-2</v>
          </cell>
          <cell r="F24">
            <v>1.9019285055408759</v>
          </cell>
          <cell r="G24">
            <v>3.7574099747626124</v>
          </cell>
        </row>
        <row r="25">
          <cell r="B25">
            <v>1.7555846116988079</v>
          </cell>
          <cell r="C25">
            <v>0.31586786352302698</v>
          </cell>
          <cell r="D25">
            <v>4.0935800039209576E-3</v>
          </cell>
          <cell r="E25">
            <v>3.6875466262566921</v>
          </cell>
          <cell r="F25">
            <v>5.1238641115395547</v>
          </cell>
          <cell r="G25">
            <v>6.4555569013344742</v>
          </cell>
        </row>
        <row r="26">
          <cell r="B26">
            <v>40.317939927144678</v>
          </cell>
          <cell r="C26">
            <v>38.472545844716457</v>
          </cell>
          <cell r="D26">
            <v>38.526943387912404</v>
          </cell>
          <cell r="E26">
            <v>38.23923852465974</v>
          </cell>
          <cell r="F26">
            <v>37.789839646245746</v>
          </cell>
          <cell r="G26">
            <v>42.376676895613514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B28">
            <v>2.1845898176222157E-2</v>
          </cell>
          <cell r="C28">
            <v>1.0891346457149839E-3</v>
          </cell>
          <cell r="D28">
            <v>9.6576885285959823E-3</v>
          </cell>
          <cell r="E28">
            <v>2.7552937220073465E-3</v>
          </cell>
          <cell r="F28">
            <v>5.1653749886851116E-3</v>
          </cell>
          <cell r="G28">
            <v>3.0936054727916051E-3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1.0391100353533191</v>
          </cell>
          <cell r="G29">
            <v>5.2596776122436593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2.0693165781837056E-4</v>
          </cell>
          <cell r="G31">
            <v>1.2350682599485892E-4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2.4438987272371163E-2</v>
          </cell>
          <cell r="G32">
            <v>0.15647810399348697</v>
          </cell>
        </row>
        <row r="33">
          <cell r="B33">
            <v>0.52400000000000047</v>
          </cell>
          <cell r="C33">
            <v>0.54529218817233771</v>
          </cell>
          <cell r="D33">
            <v>0.50316478650588714</v>
          </cell>
          <cell r="E33">
            <v>0.88470540530052799</v>
          </cell>
          <cell r="F33">
            <v>0.79251205342188069</v>
          </cell>
          <cell r="G33">
            <v>3.1871311584375048</v>
          </cell>
        </row>
        <row r="34">
          <cell r="B34">
            <v>0</v>
          </cell>
          <cell r="C34">
            <v>0</v>
          </cell>
          <cell r="D34">
            <v>0.14081197866949283</v>
          </cell>
          <cell r="E34">
            <v>0.15586649247381029</v>
          </cell>
          <cell r="F34">
            <v>1.4227698751863633</v>
          </cell>
          <cell r="G34">
            <v>5.8688696598798051</v>
          </cell>
        </row>
        <row r="35">
          <cell r="B35">
            <v>3.517953999707534</v>
          </cell>
          <cell r="C35">
            <v>4.8498358630868532</v>
          </cell>
          <cell r="D35">
            <v>11.161629688698701</v>
          </cell>
          <cell r="E35">
            <v>12.110654148324913</v>
          </cell>
          <cell r="F35">
            <v>31.864007505027764</v>
          </cell>
          <cell r="G35">
            <v>41.365270797855707</v>
          </cell>
        </row>
        <row r="36">
          <cell r="B36">
            <v>2.1349390887346629</v>
          </cell>
          <cell r="C36">
            <v>3.3906952529113097</v>
          </cell>
          <cell r="D36">
            <v>4.0431155193030506</v>
          </cell>
          <cell r="E36">
            <v>4.3469912565653077</v>
          </cell>
          <cell r="F36">
            <v>1.5513542777157683</v>
          </cell>
          <cell r="G36">
            <v>4.9783059847589278E-3</v>
          </cell>
        </row>
        <row r="37">
          <cell r="B37">
            <v>0.86248322578584768</v>
          </cell>
          <cell r="C37">
            <v>1.2876147649710539</v>
          </cell>
          <cell r="D37">
            <v>3.4879586719998397</v>
          </cell>
          <cell r="E37">
            <v>3.8198114902017313</v>
          </cell>
          <cell r="F37">
            <v>4.2194482795938359</v>
          </cell>
          <cell r="G37">
            <v>4.6608987449479979</v>
          </cell>
        </row>
        <row r="38">
          <cell r="B38">
            <v>2.8396236857719668</v>
          </cell>
          <cell r="C38">
            <v>3.2944551635429171</v>
          </cell>
          <cell r="D38">
            <v>9.9665054708757328</v>
          </cell>
          <cell r="E38">
            <v>10.737623680634032</v>
          </cell>
          <cell r="F38">
            <v>11.861023481875385</v>
          </cell>
          <cell r="G38">
            <v>13.101950779696397</v>
          </cell>
        </row>
        <row r="39">
          <cell r="B39">
            <v>1.9211523567242148</v>
          </cell>
          <cell r="C39">
            <v>0.25699341854362817</v>
          </cell>
          <cell r="D39">
            <v>0.18474114019425991</v>
          </cell>
          <cell r="E39">
            <v>1.1526066639859367</v>
          </cell>
          <cell r="F39">
            <v>0.16606041749144648</v>
          </cell>
          <cell r="G39">
            <v>3.6003568006465612E-2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1.5576513347618807E-4</v>
          </cell>
          <cell r="G40">
            <v>9.2457060849570092E-5</v>
          </cell>
        </row>
        <row r="41">
          <cell r="B41">
            <v>0.29573429104091231</v>
          </cell>
          <cell r="C41">
            <v>0.69482329516452679</v>
          </cell>
          <cell r="D41">
            <v>1.2455086344680009E-2</v>
          </cell>
          <cell r="E41">
            <v>0.6485322718477301</v>
          </cell>
          <cell r="F41">
            <v>7.2185601146066716E-2</v>
          </cell>
          <cell r="G41">
            <v>0.65015992638044118</v>
          </cell>
        </row>
        <row r="42">
          <cell r="B42">
            <v>0.87289207982672701</v>
          </cell>
          <cell r="C42">
            <v>2.3100512459393494</v>
          </cell>
          <cell r="D42">
            <v>4.523496973712323</v>
          </cell>
          <cell r="E42">
            <v>4.5744693717646721</v>
          </cell>
          <cell r="F42">
            <v>8.4100761619326221</v>
          </cell>
          <cell r="G42">
            <v>10.630000248137483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2.0637595140927977E-4</v>
          </cell>
          <cell r="G43">
            <v>1.2317549649457774E-4</v>
          </cell>
        </row>
        <row r="44">
          <cell r="B44">
            <v>3.7119865308223172</v>
          </cell>
          <cell r="C44">
            <v>3.7138612816967931</v>
          </cell>
          <cell r="D44">
            <v>5.4331829651261083</v>
          </cell>
          <cell r="E44">
            <v>5.3725281222942556</v>
          </cell>
          <cell r="F44">
            <v>5.2850236440656237</v>
          </cell>
          <cell r="G44">
            <v>5.2313971311364602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B47">
            <v>0</v>
          </cell>
        </row>
        <row r="48">
          <cell r="B48">
            <v>6.6485361223032211E-2</v>
          </cell>
          <cell r="C48">
            <v>8.7472871437078679E-3</v>
          </cell>
          <cell r="D48">
            <v>1.9253021462583293E-2</v>
          </cell>
          <cell r="E48">
            <v>2.8056067863096792E-2</v>
          </cell>
          <cell r="F48">
            <v>1.6271602655284496E-2</v>
          </cell>
          <cell r="G48">
            <v>9.6714969680770889E-3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5.6148099893343873E-4</v>
          </cell>
          <cell r="F49">
            <v>1.7590621170721281E-3</v>
          </cell>
          <cell r="G49">
            <v>1.5939750190843301E-3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4.1311486459787335E-3</v>
          </cell>
          <cell r="F50">
            <v>4.8099035367694266E-3</v>
          </cell>
          <cell r="G50">
            <v>2.745914488933686E-3</v>
          </cell>
        </row>
        <row r="51">
          <cell r="B51">
            <v>0.11189325344985983</v>
          </cell>
          <cell r="C51">
            <v>8.6568143549077756E-3</v>
          </cell>
          <cell r="D51">
            <v>2.5889650263782715E-2</v>
          </cell>
          <cell r="E51">
            <v>2.2296332399840426</v>
          </cell>
          <cell r="F51">
            <v>12.236418396134672</v>
          </cell>
          <cell r="G51">
            <v>10.122846225461515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2.5381316393948304E-3</v>
          </cell>
          <cell r="F52">
            <v>1.3900244716356052E-2</v>
          </cell>
          <cell r="G52">
            <v>2.9305689820137468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7.5224778439568936E-3</v>
          </cell>
          <cell r="F53">
            <v>7.1242298718625762E-3</v>
          </cell>
          <cell r="G53">
            <v>3.8187248485719479E-3</v>
          </cell>
        </row>
        <row r="54">
          <cell r="B54">
            <v>2.6454072062041827</v>
          </cell>
          <cell r="C54">
            <v>3.0461578512680063</v>
          </cell>
          <cell r="D54">
            <v>3.0429674361159353</v>
          </cell>
          <cell r="E54">
            <v>3.0323172320813758</v>
          </cell>
          <cell r="F54">
            <v>2.9499449547139158</v>
          </cell>
          <cell r="G54">
            <v>2.8714667610033597</v>
          </cell>
        </row>
        <row r="55">
          <cell r="B55">
            <v>1.6639891568998277</v>
          </cell>
          <cell r="C55">
            <v>1.7386066937657427</v>
          </cell>
          <cell r="D55">
            <v>4.8079641846284951E-2</v>
          </cell>
          <cell r="E55">
            <v>4.6741642524904238E-2</v>
          </cell>
          <cell r="F55">
            <v>7.1173316325151767E-2</v>
          </cell>
          <cell r="G55">
            <v>2.9262387671992636E-3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2.8839719411951075E-3</v>
          </cell>
          <cell r="F56">
            <v>3.2474044944664437E-3</v>
          </cell>
          <cell r="G56">
            <v>1.2771639160808973E-3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7.6620631716873395E-4</v>
          </cell>
          <cell r="F58">
            <v>1.51255995677743E-2</v>
          </cell>
          <cell r="G58">
            <v>9.5698008937697647</v>
          </cell>
        </row>
        <row r="63">
          <cell r="B63">
            <v>0.13509641579725434</v>
          </cell>
          <cell r="C63">
            <v>1.2250112590542738E-2</v>
          </cell>
          <cell r="D63">
            <v>0.13501649941244928</v>
          </cell>
          <cell r="E63">
            <v>5.3868994623559339E-2</v>
          </cell>
          <cell r="F63">
            <v>0.13495502498373371</v>
          </cell>
          <cell r="G63">
            <v>0.13500082670189084</v>
          </cell>
        </row>
        <row r="64">
          <cell r="B64">
            <v>4.0745984648568089E-3</v>
          </cell>
          <cell r="C64">
            <v>3.1877995550985338E-3</v>
          </cell>
          <cell r="D64">
            <v>4.0478758117290653E-3</v>
          </cell>
          <cell r="E64">
            <v>3.697378817548318E-3</v>
          </cell>
          <cell r="F64">
            <v>0.10168760826706645</v>
          </cell>
          <cell r="G64">
            <v>0.65241195706626698</v>
          </cell>
        </row>
        <row r="65">
          <cell r="B65">
            <v>3.5564309424991384E-3</v>
          </cell>
          <cell r="C65">
            <v>2.8166449506669324E-3</v>
          </cell>
          <cell r="D65">
            <v>3.5223229616786816E-3</v>
          </cell>
          <cell r="E65">
            <v>3.3709660072428573E-3</v>
          </cell>
          <cell r="F65">
            <v>1.554943048844251E-2</v>
          </cell>
          <cell r="G65">
            <v>2.5698365634256041E-2</v>
          </cell>
        </row>
        <row r="66">
          <cell r="B66">
            <v>1.1360361296614857E-3</v>
          </cell>
          <cell r="C66">
            <v>1.1230573869421851E-3</v>
          </cell>
          <cell r="D66">
            <v>1.1144356916349219E-3</v>
          </cell>
          <cell r="E66">
            <v>3.714723704236407E-2</v>
          </cell>
          <cell r="F66">
            <v>0.28475222753445173</v>
          </cell>
          <cell r="G66">
            <v>0.46988040259935943</v>
          </cell>
        </row>
        <row r="67">
          <cell r="B67">
            <v>2.272172246339685E-3</v>
          </cell>
          <cell r="C67">
            <v>2.245779206817049E-3</v>
          </cell>
          <cell r="D67">
            <v>2.2305209955900398E-3</v>
          </cell>
          <cell r="E67">
            <v>5.907596964786796E-2</v>
          </cell>
          <cell r="F67">
            <v>3.7684573365366902E-2</v>
          </cell>
          <cell r="G67">
            <v>2.8027228994789738E-2</v>
          </cell>
        </row>
        <row r="68">
          <cell r="B68">
            <v>2.2716183184429747E-3</v>
          </cell>
          <cell r="C68">
            <v>2.2452112534010128E-3</v>
          </cell>
          <cell r="D68">
            <v>2.2333642354354171E-3</v>
          </cell>
          <cell r="E68">
            <v>5.9306288670804716E-2</v>
          </cell>
          <cell r="F68">
            <v>4.3061908179642623E-2</v>
          </cell>
          <cell r="G68">
            <v>2.8025224212990481E-2</v>
          </cell>
        </row>
        <row r="69">
          <cell r="B69">
            <v>1.14060818641731E-3</v>
          </cell>
          <cell r="C69">
            <v>1.127519239929818E-3</v>
          </cell>
          <cell r="D69">
            <v>1.119633353287412E-3</v>
          </cell>
          <cell r="E69">
            <v>3.6340820143720691E-2</v>
          </cell>
          <cell r="F69">
            <v>2.8506476954973017E-2</v>
          </cell>
          <cell r="G69">
            <v>1.8336513221779739E-2</v>
          </cell>
        </row>
        <row r="90">
          <cell r="B90">
            <v>2.0280941522868652</v>
          </cell>
          <cell r="C90">
            <v>3.2083014103802703</v>
          </cell>
          <cell r="D90">
            <v>1.0967068944791534</v>
          </cell>
          <cell r="E90">
            <v>3.5897258602801605</v>
          </cell>
          <cell r="F90">
            <v>3.212838654339965</v>
          </cell>
          <cell r="G90">
            <v>9.6581353323272612E-3</v>
          </cell>
        </row>
        <row r="91">
          <cell r="B91">
            <v>1.1839665703967057</v>
          </cell>
          <cell r="C91">
            <v>1.1839569486079131</v>
          </cell>
          <cell r="D91">
            <v>1.1839595869334933</v>
          </cell>
          <cell r="E91">
            <v>1.1839539067264768</v>
          </cell>
          <cell r="F91">
            <v>1.1839592016358964</v>
          </cell>
          <cell r="G91">
            <v>1.183962554227467</v>
          </cell>
        </row>
        <row r="92">
          <cell r="B92">
            <v>1.4500356790805038</v>
          </cell>
          <cell r="C92">
            <v>3.8018551181461344</v>
          </cell>
          <cell r="D92">
            <v>3.8005505190406987</v>
          </cell>
          <cell r="E92">
            <v>1.0694499572352101</v>
          </cell>
          <cell r="F92">
            <v>0</v>
          </cell>
          <cell r="G92">
            <v>0</v>
          </cell>
        </row>
        <row r="93">
          <cell r="B93">
            <v>0.2154475956695007</v>
          </cell>
          <cell r="C93">
            <v>0.21745155401823268</v>
          </cell>
          <cell r="D93">
            <v>1.3801990024290313E-3</v>
          </cell>
          <cell r="E93">
            <v>6.2186664213662653E-4</v>
          </cell>
          <cell r="F93">
            <v>2.9410655698876824E-4</v>
          </cell>
          <cell r="G93">
            <v>2.1300002581576687E-4</v>
          </cell>
        </row>
        <row r="94">
          <cell r="B94">
            <v>1.6209578227267463</v>
          </cell>
          <cell r="C94">
            <v>1.4629083553312343</v>
          </cell>
          <cell r="D94">
            <v>1.2542616468714516</v>
          </cell>
          <cell r="E94">
            <v>0.9705181480688656</v>
          </cell>
          <cell r="F94">
            <v>0.58111969138054176</v>
          </cell>
          <cell r="G94">
            <v>0.34794687170323346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7.4470674295132382E-5</v>
          </cell>
          <cell r="F95">
            <v>8.6477910470254425E-5</v>
          </cell>
          <cell r="G95">
            <v>8.7497494530405442E-5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1.5350074133153125E-4</v>
          </cell>
          <cell r="G96">
            <v>1.2727913964069858E-4</v>
          </cell>
        </row>
        <row r="97">
          <cell r="B97">
            <v>0</v>
          </cell>
          <cell r="C97">
            <v>1.1273840965151012</v>
          </cell>
          <cell r="D97">
            <v>1.1615452456149291</v>
          </cell>
          <cell r="E97">
            <v>1.2207962366814848</v>
          </cell>
          <cell r="F97">
            <v>1.348520288924058</v>
          </cell>
          <cell r="G97">
            <v>1.4896061250827037</v>
          </cell>
        </row>
      </sheetData>
      <sheetData sheetId="35">
        <row r="14">
          <cell r="B14">
            <v>3.0805585818793029</v>
          </cell>
          <cell r="C14">
            <v>3.0805583502812199</v>
          </cell>
          <cell r="D14">
            <v>2.7153806635465116</v>
          </cell>
          <cell r="E14">
            <v>2.6089113970653699</v>
          </cell>
          <cell r="F14">
            <v>1.2356856387330069</v>
          </cell>
          <cell r="G14">
            <v>0</v>
          </cell>
        </row>
        <row r="15">
          <cell r="B15">
            <v>7.3394300010600002</v>
          </cell>
          <cell r="C15">
            <v>7.3413418160644968</v>
          </cell>
          <cell r="D15">
            <v>7.3446918510300554</v>
          </cell>
          <cell r="E15">
            <v>7.415135349995186</v>
          </cell>
          <cell r="F15">
            <v>7.4545340092187313</v>
          </cell>
          <cell r="G15">
            <v>7.7305087623055684</v>
          </cell>
        </row>
        <row r="16">
          <cell r="B16">
            <v>4.7247299999999992</v>
          </cell>
          <cell r="C16">
            <v>4.807471632218081</v>
          </cell>
          <cell r="D16">
            <v>4.8589997114060175</v>
          </cell>
          <cell r="E16">
            <v>4.8629041951284435</v>
          </cell>
          <cell r="F16">
            <v>4.8629686476193958</v>
          </cell>
          <cell r="G16">
            <v>4.8629695205917134</v>
          </cell>
        </row>
        <row r="17">
          <cell r="B17">
            <v>3.3394499999999998</v>
          </cell>
          <cell r="C17">
            <v>3.9712115128789791</v>
          </cell>
          <cell r="D17">
            <v>4.359632566757929</v>
          </cell>
          <cell r="E17">
            <v>4.359632566757929</v>
          </cell>
          <cell r="F17">
            <v>4.3596327570825109</v>
          </cell>
          <cell r="G17">
            <v>4.3596330014617344</v>
          </cell>
        </row>
        <row r="18">
          <cell r="B18">
            <v>2.1267309613793001E-2</v>
          </cell>
          <cell r="C18">
            <v>2.1121979063672004E-2</v>
          </cell>
          <cell r="D18">
            <v>1.8142927732218126E-2</v>
          </cell>
          <cell r="E18">
            <v>2.1480112792644338E-2</v>
          </cell>
          <cell r="F18">
            <v>3.922359369335518E-2</v>
          </cell>
          <cell r="G18">
            <v>1.3112712594362898E-2</v>
          </cell>
        </row>
        <row r="19">
          <cell r="B19">
            <v>0.27650789664584419</v>
          </cell>
          <cell r="C19">
            <v>0.27650647409236795</v>
          </cell>
          <cell r="D19">
            <v>0.27650560706433724</v>
          </cell>
          <cell r="E19">
            <v>0.27599244331354722</v>
          </cell>
          <cell r="F19">
            <v>0.30340253021844399</v>
          </cell>
          <cell r="G19">
            <v>0.3176420794003757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4.6153867080361002E-3</v>
          </cell>
          <cell r="G21">
            <v>0.24635408814179999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3.6757091034560819E-3</v>
          </cell>
          <cell r="G22">
            <v>3.674112598255762E-3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</row>
        <row r="24">
          <cell r="B24">
            <v>5.0263576039499998E-2</v>
          </cell>
          <cell r="C24">
            <v>1.6755537226632866E-4</v>
          </cell>
          <cell r="D24">
            <v>3.6861597580195582E-4</v>
          </cell>
          <cell r="E24">
            <v>3.7220521587964794E-4</v>
          </cell>
          <cell r="F24">
            <v>6.6348095267336718E-2</v>
          </cell>
          <cell r="G24">
            <v>6.6415394877501727E-2</v>
          </cell>
        </row>
        <row r="25">
          <cell r="B25">
            <v>1.5997974049053898E-2</v>
          </cell>
          <cell r="C25">
            <v>3.0461075953739022E-3</v>
          </cell>
          <cell r="D25">
            <v>1.6518185287434095E-4</v>
          </cell>
          <cell r="E25">
            <v>3.7840674225086302E-2</v>
          </cell>
          <cell r="F25">
            <v>5.8538202689941421E-2</v>
          </cell>
          <cell r="G25">
            <v>7.6578711544249237E-2</v>
          </cell>
        </row>
        <row r="26">
          <cell r="B26">
            <v>7.8399913160872733E-2</v>
          </cell>
          <cell r="C26">
            <v>7.2061511590867253E-2</v>
          </cell>
          <cell r="D26">
            <v>7.2060676354549394E-2</v>
          </cell>
          <cell r="E26">
            <v>7.0489850106039406E-2</v>
          </cell>
          <cell r="F26">
            <v>7.0079152988646518E-2</v>
          </cell>
          <cell r="G26">
            <v>7.029302953640823E-2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B28">
            <v>2.9701882297072102E-3</v>
          </cell>
          <cell r="C28">
            <v>7.6887785079689068E-4</v>
          </cell>
          <cell r="D28">
            <v>6.7981303621687458E-4</v>
          </cell>
          <cell r="E28">
            <v>4.6295549502646353E-4</v>
          </cell>
          <cell r="F28">
            <v>1.7237589227266683E-4</v>
          </cell>
          <cell r="G28">
            <v>1.119628798158643E-4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1.5507023438008799E-2</v>
          </cell>
          <cell r="G29">
            <v>7.8490861602357465E-2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1.4537216929298401E-4</v>
          </cell>
          <cell r="G32">
            <v>9.3183126665904092E-4</v>
          </cell>
        </row>
        <row r="33">
          <cell r="B33">
            <v>8.7120000000000003E-2</v>
          </cell>
          <cell r="C33">
            <v>9.0660029453385652E-2</v>
          </cell>
          <cell r="D33">
            <v>8.3655946947314652E-2</v>
          </cell>
          <cell r="E33">
            <v>0.14709073669056399</v>
          </cell>
          <cell r="F33">
            <v>0.13176658968374469</v>
          </cell>
          <cell r="G33">
            <v>0.52989437544243401</v>
          </cell>
        </row>
        <row r="34">
          <cell r="B34">
            <v>0</v>
          </cell>
          <cell r="C34">
            <v>0</v>
          </cell>
          <cell r="D34">
            <v>4.49274651833294E-2</v>
          </cell>
          <cell r="E34">
            <v>4.4933854765997629E-2</v>
          </cell>
          <cell r="F34">
            <v>0.41014785757472988</v>
          </cell>
          <cell r="G34">
            <v>1.6918290801653983</v>
          </cell>
        </row>
        <row r="35">
          <cell r="B35">
            <v>1.1186210000000001</v>
          </cell>
          <cell r="C35">
            <v>1.6529270613988962</v>
          </cell>
          <cell r="D35">
            <v>3.5611884773938201</v>
          </cell>
          <cell r="E35">
            <v>3.49228246604953</v>
          </cell>
          <cell r="F35">
            <v>9.1884451767812969</v>
          </cell>
          <cell r="G35">
            <v>11.9282696065896</v>
          </cell>
        </row>
        <row r="36">
          <cell r="B36">
            <v>0.67885700000000004</v>
          </cell>
          <cell r="C36">
            <v>1.1559102288890197</v>
          </cell>
          <cell r="D36">
            <v>1.2899967959554544</v>
          </cell>
          <cell r="E36">
            <v>1.2531145423278398</v>
          </cell>
          <cell r="F36">
            <v>0.44721723223580806</v>
          </cell>
          <cell r="G36">
            <v>1.439347320777112E-3</v>
          </cell>
        </row>
        <row r="37">
          <cell r="B37">
            <v>0.27424799999999999</v>
          </cell>
          <cell r="C37">
            <v>0.43895633349394841</v>
          </cell>
          <cell r="D37">
            <v>1.1128717815427411</v>
          </cell>
          <cell r="E37">
            <v>1.1011475752806583</v>
          </cell>
          <cell r="F37">
            <v>1.2163531390621589</v>
          </cell>
          <cell r="G37">
            <v>1.3436054775851241</v>
          </cell>
        </row>
        <row r="38">
          <cell r="B38">
            <v>0.90292899999999998</v>
          </cell>
          <cell r="C38">
            <v>1.1231013044603706</v>
          </cell>
          <cell r="D38">
            <v>3.1799155188253501</v>
          </cell>
          <cell r="E38">
            <v>3.0953464026024302</v>
          </cell>
          <cell r="F38">
            <v>3.419190137837619</v>
          </cell>
          <cell r="G38">
            <v>3.7769117237251</v>
          </cell>
        </row>
        <row r="39">
          <cell r="B39">
            <v>2.9069093609261402E-2</v>
          </cell>
          <cell r="C39">
            <v>2.1499696599049559E-2</v>
          </cell>
          <cell r="D39">
            <v>1.5392475771116076E-2</v>
          </cell>
          <cell r="E39">
            <v>1.5858212465711299E-2</v>
          </cell>
          <cell r="F39">
            <v>1.1190315526737408E-2</v>
          </cell>
          <cell r="G39">
            <v>2.9819573481154062E-3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  <row r="41">
          <cell r="B41">
            <v>8.3047945013168048E-3</v>
          </cell>
          <cell r="C41">
            <v>6.3995435343463282E-3</v>
          </cell>
          <cell r="D41">
            <v>6.4014466251850486E-3</v>
          </cell>
          <cell r="E41">
            <v>2.2572564983023367E-2</v>
          </cell>
          <cell r="F41">
            <v>4.7889114443256206E-2</v>
          </cell>
          <cell r="G41">
            <v>7.9508943532833623E-2</v>
          </cell>
        </row>
        <row r="42">
          <cell r="B42">
            <v>7.0317910702869801E-3</v>
          </cell>
          <cell r="C42">
            <v>1.9287510693419628E-2</v>
          </cell>
          <cell r="D42">
            <v>4.1976642769030077E-2</v>
          </cell>
          <cell r="E42">
            <v>5.7253345589838307E-2</v>
          </cell>
          <cell r="F42">
            <v>0.1167495949590551</v>
          </cell>
          <cell r="G42">
            <v>0.14461510164157876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</row>
        <row r="44">
          <cell r="B44">
            <v>4.7534485667409462E-2</v>
          </cell>
          <cell r="C44">
            <v>1.5252156083494915E-2</v>
          </cell>
          <cell r="D44">
            <v>1.5251624716263665E-2</v>
          </cell>
          <cell r="E44">
            <v>1.3546584338587575E-2</v>
          </cell>
          <cell r="F44">
            <v>1.4434982311066932E-2</v>
          </cell>
          <cell r="G44">
            <v>1.3190152490632987E-2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8.0856294682582995E-5</v>
          </cell>
          <cell r="F47">
            <v>1.8523936244575827E-4</v>
          </cell>
          <cell r="G47">
            <v>1.342397203466718E-4</v>
          </cell>
        </row>
        <row r="48">
          <cell r="B48">
            <v>4.1311297430992062E-3</v>
          </cell>
          <cell r="C48">
            <v>6.2979735286241634E-4</v>
          </cell>
          <cell r="D48">
            <v>6.6537837642190981E-4</v>
          </cell>
          <cell r="E48">
            <v>6.5184215012688296E-4</v>
          </cell>
          <cell r="F48">
            <v>3.4207973059149173E-4</v>
          </cell>
          <cell r="G48">
            <v>1.8958110273505432E-4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2.0324396791E-5</v>
          </cell>
          <cell r="F49">
            <v>6.8320309065886541E-5</v>
          </cell>
          <cell r="G49">
            <v>6.3220068223702791E-5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7.3826905613140503E-5</v>
          </cell>
          <cell r="F50">
            <v>9.0005068354404049E-5</v>
          </cell>
          <cell r="G50">
            <v>5.3054672328638222E-5</v>
          </cell>
        </row>
        <row r="51">
          <cell r="B51">
            <v>8.4798297676874912E-3</v>
          </cell>
          <cell r="C51">
            <v>5.2077369350231209E-4</v>
          </cell>
          <cell r="D51">
            <v>5.8233853301714188E-4</v>
          </cell>
          <cell r="E51">
            <v>4.9598010556648212E-2</v>
          </cell>
          <cell r="F51">
            <v>0.27573755659694577</v>
          </cell>
          <cell r="G51">
            <v>0.23129010963368299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9.4164445473754688E-5</v>
          </cell>
          <cell r="F52">
            <v>5.4343165623711113E-4</v>
          </cell>
          <cell r="G52">
            <v>0.11722554316415945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1.3304922933148961E-4</v>
          </cell>
          <cell r="F53">
            <v>1.4575952402365571E-4</v>
          </cell>
          <cell r="G53">
            <v>8.3371244972501809E-5</v>
          </cell>
        </row>
        <row r="54">
          <cell r="B54">
            <v>7.3512223967056908E-2</v>
          </cell>
          <cell r="C54">
            <v>8.4745513097456843E-2</v>
          </cell>
          <cell r="D54">
            <v>8.4745105171691121E-2</v>
          </cell>
          <cell r="E54">
            <v>8.4745652633710478E-2</v>
          </cell>
          <cell r="F54">
            <v>8.4745572815094428E-2</v>
          </cell>
          <cell r="G54">
            <v>8.4745240950569858E-2</v>
          </cell>
        </row>
        <row r="55">
          <cell r="B55">
            <v>6.5199535414913301E-2</v>
          </cell>
          <cell r="C55">
            <v>4.7877040155449684E-2</v>
          </cell>
          <cell r="D55">
            <v>2.667343697707894E-3</v>
          </cell>
          <cell r="E55">
            <v>2.6649777505945021E-3</v>
          </cell>
          <cell r="F55">
            <v>1.4810845752230989E-3</v>
          </cell>
          <cell r="G55">
            <v>9.7458353700316812E-5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7.8916457412714396E-5</v>
          </cell>
          <cell r="F56">
            <v>9.3994243992900721E-5</v>
          </cell>
          <cell r="G56">
            <v>4.4031223459066862E-5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3.0319485863166301E-5</v>
          </cell>
          <cell r="F58">
            <v>5.4117298958793008E-4</v>
          </cell>
          <cell r="G58">
            <v>0.34821585711447572</v>
          </cell>
        </row>
        <row r="63">
          <cell r="B63">
            <v>0.1</v>
          </cell>
          <cell r="C63">
            <v>9.9997204215070301E-2</v>
          </cell>
          <cell r="D63">
            <v>9.9996810575134237E-2</v>
          </cell>
          <cell r="E63">
            <v>9.9996579743461614E-2</v>
          </cell>
          <cell r="F63">
            <v>9.9997355823325473E-2</v>
          </cell>
          <cell r="G63">
            <v>9.9998208857812618E-2</v>
          </cell>
        </row>
        <row r="64">
          <cell r="B64">
            <v>5.9779626547404698E-4</v>
          </cell>
          <cell r="C64">
            <v>5.9810850172073394E-4</v>
          </cell>
          <cell r="D64">
            <v>6.0163158941364022E-4</v>
          </cell>
          <cell r="E64">
            <v>5.4556141649370288E-4</v>
          </cell>
          <cell r="F64">
            <v>3.45497477754853E-2</v>
          </cell>
          <cell r="G64">
            <v>0.19577784538008003</v>
          </cell>
        </row>
        <row r="65">
          <cell r="B65">
            <v>4.4044716866207298E-4</v>
          </cell>
          <cell r="C65">
            <v>4.4063679380253792E-4</v>
          </cell>
          <cell r="D65">
            <v>4.431184004903696E-4</v>
          </cell>
          <cell r="E65">
            <v>4.1510897806699878E-4</v>
          </cell>
          <cell r="F65">
            <v>2.3996273509438002E-3</v>
          </cell>
          <cell r="G65">
            <v>5.4862740392225863E-3</v>
          </cell>
        </row>
        <row r="66">
          <cell r="B66">
            <v>4.1128930436867454E-4</v>
          </cell>
          <cell r="C66">
            <v>4.1169595112406992E-4</v>
          </cell>
          <cell r="D66">
            <v>4.1300735430558808E-4</v>
          </cell>
          <cell r="E66">
            <v>1.9212785566518922E-2</v>
          </cell>
          <cell r="F66">
            <v>0.12070794404073798</v>
          </cell>
          <cell r="G66">
            <v>0.17419066712255246</v>
          </cell>
        </row>
        <row r="67">
          <cell r="B67">
            <v>8.2248575576289906E-4</v>
          </cell>
          <cell r="C67">
            <v>8.232999737370736E-4</v>
          </cell>
          <cell r="D67">
            <v>8.2613962913935155E-4</v>
          </cell>
          <cell r="E67">
            <v>2.9967761747155146E-2</v>
          </cell>
          <cell r="F67">
            <v>1.3989888882099132E-2</v>
          </cell>
          <cell r="G67">
            <v>1.0383606542652909E-2</v>
          </cell>
        </row>
        <row r="68">
          <cell r="B68">
            <v>8.2227586431100398E-4</v>
          </cell>
          <cell r="C68">
            <v>8.2309022142786005E-4</v>
          </cell>
          <cell r="D68">
            <v>8.2592553050196075E-4</v>
          </cell>
          <cell r="E68">
            <v>3.0059023296629853E-2</v>
          </cell>
          <cell r="F68">
            <v>1.599198463405338E-2</v>
          </cell>
          <cell r="G68">
            <v>1.0382846998503628E-2</v>
          </cell>
        </row>
        <row r="69">
          <cell r="B69">
            <v>4.1296085516919769E-4</v>
          </cell>
          <cell r="C69">
            <v>4.133697810168763E-4</v>
          </cell>
          <cell r="D69">
            <v>4.1469170477611579E-4</v>
          </cell>
          <cell r="E69">
            <v>1.7038242349133533E-2</v>
          </cell>
          <cell r="F69">
            <v>1.0568689469758516E-2</v>
          </cell>
          <cell r="G69">
            <v>6.7921302944734868E-3</v>
          </cell>
        </row>
      </sheetData>
      <sheetData sheetId="36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B15">
            <v>0</v>
          </cell>
          <cell r="C15">
            <v>1.9118150044967219E-3</v>
          </cell>
          <cell r="D15">
            <v>3.3520926155660054E-3</v>
          </cell>
          <cell r="E15">
            <v>0.10983814608311909</v>
          </cell>
          <cell r="F15">
            <v>0.12951523244553284</v>
          </cell>
          <cell r="G15">
            <v>0.45045258111465603</v>
          </cell>
        </row>
        <row r="16">
          <cell r="B16">
            <v>0</v>
          </cell>
          <cell r="C16">
            <v>4.0706621360030984E-4</v>
          </cell>
          <cell r="D16">
            <v>7.0946423691408344E-4</v>
          </cell>
          <cell r="E16">
            <v>1.4134790762348128E-6</v>
          </cell>
          <cell r="F16">
            <v>6.0146077218792917E-7</v>
          </cell>
          <cell r="G16">
            <v>6.5553756293534355E-7</v>
          </cell>
        </row>
        <row r="17">
          <cell r="B17">
            <v>0</v>
          </cell>
          <cell r="C17">
            <v>1.8256675792926899E-4</v>
          </cell>
          <cell r="D17">
            <v>8.2888375105245397E-8</v>
          </cell>
          <cell r="E17">
            <v>1.07436206513319E-7</v>
          </cell>
          <cell r="F17">
            <v>1.2486931900034699E-7</v>
          </cell>
          <cell r="G17">
            <v>3.9822624227684198E-7</v>
          </cell>
        </row>
        <row r="18">
          <cell r="B18">
            <v>0</v>
          </cell>
          <cell r="C18">
            <v>5.450674622101E-6</v>
          </cell>
          <cell r="D18">
            <v>6.3182342304183301E-3</v>
          </cell>
          <cell r="E18">
            <v>8.1584539990014696E-3</v>
          </cell>
          <cell r="F18">
            <v>4.3058405218305296E-6</v>
          </cell>
          <cell r="G18">
            <v>1.9645265802901201E-6</v>
          </cell>
        </row>
        <row r="19">
          <cell r="B19">
            <v>0</v>
          </cell>
          <cell r="C19">
            <v>1.4140920755560999E-7</v>
          </cell>
          <cell r="D19">
            <v>2.91104309865476E-7</v>
          </cell>
          <cell r="E19">
            <v>6.7313977252415905E-2</v>
          </cell>
          <cell r="F19">
            <v>5.6717341951100099E-2</v>
          </cell>
          <cell r="G19">
            <v>9.1758165270877004E-2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9.5856534006312794E-3</v>
          </cell>
          <cell r="G21">
            <v>0.31997334494117102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1.3369085105174601E-6</v>
          </cell>
          <cell r="G22">
            <v>8.5997566862434E-7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</row>
        <row r="24">
          <cell r="B24">
            <v>0</v>
          </cell>
          <cell r="C24">
            <v>3.13310782231843E-7</v>
          </cell>
          <cell r="D24">
            <v>2.01192122687136E-4</v>
          </cell>
          <cell r="E24">
            <v>5.3680563069810403E-6</v>
          </cell>
          <cell r="F24">
            <v>6.5877102043432195E-2</v>
          </cell>
          <cell r="G24">
            <v>3.2563771218894799E-4</v>
          </cell>
        </row>
        <row r="25">
          <cell r="B25">
            <v>0</v>
          </cell>
          <cell r="C25">
            <v>9.7164265503165395E-8</v>
          </cell>
          <cell r="D25">
            <v>9.6245020403154805E-7</v>
          </cell>
          <cell r="E25">
            <v>3.7676168134559401E-2</v>
          </cell>
          <cell r="F25">
            <v>8.1220650990695992E-3</v>
          </cell>
          <cell r="G25">
            <v>4.8530922314469899E-2</v>
          </cell>
        </row>
        <row r="26">
          <cell r="B26">
            <v>0</v>
          </cell>
          <cell r="C26">
            <v>8.4719480912762704E-8</v>
          </cell>
          <cell r="D26">
            <v>1.12419121192545E-7</v>
          </cell>
          <cell r="E26">
            <v>2.14401260831819E-7</v>
          </cell>
          <cell r="F26">
            <v>1.9608569435540499E-2</v>
          </cell>
          <cell r="G26">
            <v>2.8457169456333701E-2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B28">
            <v>0</v>
          </cell>
          <cell r="C28">
            <v>1.64824241531989E-6</v>
          </cell>
          <cell r="D28">
            <v>1.4673053751963899E-6</v>
          </cell>
          <cell r="E28">
            <v>2.33271516048816E-6</v>
          </cell>
          <cell r="F28">
            <v>3.7994457864734397E-5</v>
          </cell>
          <cell r="G28">
            <v>6.8450029054877099E-5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1.5507023438008799E-2</v>
          </cell>
          <cell r="G29">
            <v>6.2983905614890895E-2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9.2859915283274798E-4</v>
          </cell>
          <cell r="G32">
            <v>5.6445756285628096E-6</v>
          </cell>
        </row>
        <row r="33">
          <cell r="B33">
            <v>0</v>
          </cell>
          <cell r="C33">
            <v>7.1321414167784597E-3</v>
          </cell>
          <cell r="D33">
            <v>0.123893796935977</v>
          </cell>
          <cell r="E33">
            <v>6.3094352295093301E-5</v>
          </cell>
          <cell r="F33">
            <v>1.1472340146666001E-5</v>
          </cell>
          <cell r="G33">
            <v>2.3502420949941598</v>
          </cell>
        </row>
        <row r="34">
          <cell r="B34">
            <v>0</v>
          </cell>
          <cell r="C34">
            <v>0</v>
          </cell>
          <cell r="D34">
            <v>4.49274651833294E-2</v>
          </cell>
          <cell r="E34">
            <v>5.6671611347919101E-6</v>
          </cell>
          <cell r="F34">
            <v>0.170545275808275</v>
          </cell>
          <cell r="G34">
            <v>1.36598410516515</v>
          </cell>
        </row>
        <row r="35">
          <cell r="B35">
            <v>0</v>
          </cell>
          <cell r="C35">
            <v>4.6811846245897602E-8</v>
          </cell>
          <cell r="D35">
            <v>1.7679674305819799</v>
          </cell>
          <cell r="E35">
            <v>9.8854598176847396E-6</v>
          </cell>
          <cell r="F35">
            <v>3.8782966504122598</v>
          </cell>
          <cell r="G35">
            <v>5.6253798826072101</v>
          </cell>
        </row>
        <row r="36">
          <cell r="B36">
            <v>0</v>
          </cell>
          <cell r="C36">
            <v>1.031121086988166E-5</v>
          </cell>
          <cell r="D36">
            <v>8.2948474458433041E-4</v>
          </cell>
          <cell r="E36">
            <v>5.8131600563915304E-7</v>
          </cell>
          <cell r="F36">
            <v>5.2441283400112136E-5</v>
          </cell>
          <cell r="G36">
            <v>1.350823394231624E-3</v>
          </cell>
        </row>
        <row r="37">
          <cell r="B37">
            <v>0</v>
          </cell>
          <cell r="C37">
            <v>1.1016017535418841E-5</v>
          </cell>
          <cell r="D37">
            <v>0.62971276552520572</v>
          </cell>
          <cell r="E37">
            <v>5.8147843560196501E-7</v>
          </cell>
          <cell r="F37">
            <v>0.2840292443886388</v>
          </cell>
          <cell r="G37">
            <v>0.94433629740098102</v>
          </cell>
        </row>
        <row r="38">
          <cell r="B38">
            <v>0</v>
          </cell>
          <cell r="C38">
            <v>4.2892360603492903E-8</v>
          </cell>
          <cell r="D38">
            <v>2.0046864759329899</v>
          </cell>
          <cell r="E38">
            <v>7.0553639899575305E-7</v>
          </cell>
          <cell r="F38">
            <v>0.57339899076638601</v>
          </cell>
          <cell r="G38">
            <v>2.70569527276486</v>
          </cell>
        </row>
        <row r="39">
          <cell r="B39">
            <v>0</v>
          </cell>
          <cell r="C39">
            <v>4.3000534295831901E-7</v>
          </cell>
          <cell r="D39">
            <v>3.5238759431125202E-6</v>
          </cell>
          <cell r="E39">
            <v>1.11828775409269E-2</v>
          </cell>
          <cell r="F39">
            <v>3.1315917654282699E-6</v>
          </cell>
          <cell r="G39">
            <v>7.0447424932504601E-5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  <row r="41">
          <cell r="B41">
            <v>0</v>
          </cell>
          <cell r="C41">
            <v>5.4669379389581298E-3</v>
          </cell>
          <cell r="D41">
            <v>2.8844133633862599E-6</v>
          </cell>
          <cell r="E41">
            <v>1.61712489591457E-2</v>
          </cell>
          <cell r="F41">
            <v>2.3991335112205098E-2</v>
          </cell>
          <cell r="G41">
            <v>5.6661093045432397E-2</v>
          </cell>
        </row>
        <row r="42">
          <cell r="B42">
            <v>0</v>
          </cell>
          <cell r="C42">
            <v>1.7608592305488099E-2</v>
          </cell>
          <cell r="D42">
            <v>2.2689321211042099E-2</v>
          </cell>
          <cell r="E42">
            <v>1.52769241172641E-2</v>
          </cell>
          <cell r="F42">
            <v>5.8910766056287402E-2</v>
          </cell>
          <cell r="G42">
            <v>8.3509448700531896E-2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</row>
        <row r="44">
          <cell r="B44">
            <v>0</v>
          </cell>
          <cell r="C44">
            <v>1.17835612412212E-7</v>
          </cell>
          <cell r="D44">
            <v>1.13296507951937E-7</v>
          </cell>
          <cell r="E44">
            <v>8.5309476674271195E-4</v>
          </cell>
          <cell r="F44">
            <v>1.8455409581620999E-3</v>
          </cell>
          <cell r="G44">
            <v>2.2239529465157199E-3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8.0856294682582995E-5</v>
          </cell>
          <cell r="F47">
            <v>4.6477279701766301E-5</v>
          </cell>
          <cell r="G47">
            <v>6.5209894252865597E-5</v>
          </cell>
        </row>
        <row r="48">
          <cell r="B48">
            <v>0</v>
          </cell>
          <cell r="C48">
            <v>4.7968976196916338E-5</v>
          </cell>
          <cell r="D48">
            <v>4.7514329160520298E-5</v>
          </cell>
          <cell r="E48">
            <v>7.5336404206660701E-6</v>
          </cell>
          <cell r="F48">
            <v>6.2533070664242801E-5</v>
          </cell>
          <cell r="G48">
            <v>6.3487951760121355E-5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2.0324396791E-5</v>
          </cell>
          <cell r="F49">
            <v>1.3210131636052471E-6</v>
          </cell>
          <cell r="G49">
            <v>1.9496527308196678E-5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7.3826905613140503E-5</v>
          </cell>
          <cell r="F50">
            <v>2.3494996671958481E-5</v>
          </cell>
          <cell r="G50">
            <v>2.9221991286927699E-5</v>
          </cell>
        </row>
        <row r="51">
          <cell r="B51">
            <v>0</v>
          </cell>
          <cell r="C51">
            <v>1.4528244598158995E-4</v>
          </cell>
          <cell r="D51">
            <v>6.1494334474669333E-5</v>
          </cell>
          <cell r="E51">
            <v>4.90157616319278E-2</v>
          </cell>
          <cell r="F51">
            <v>0.18743730039271289</v>
          </cell>
          <cell r="G51">
            <v>1.6031951135311871E-5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9.4164445473754688E-5</v>
          </cell>
          <cell r="F52">
            <v>1.5695915559713731E-4</v>
          </cell>
          <cell r="G52">
            <v>0.11681137379844719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1.3304922933148961E-4</v>
          </cell>
          <cell r="F53">
            <v>2.2856126510629602E-5</v>
          </cell>
          <cell r="G53">
            <v>5.3286582389991394E-5</v>
          </cell>
        </row>
        <row r="54">
          <cell r="B54">
            <v>0</v>
          </cell>
          <cell r="C54">
            <v>2.6188588999241699E-2</v>
          </cell>
          <cell r="D54">
            <v>6.5673508513840002E-3</v>
          </cell>
          <cell r="E54">
            <v>1.22216642623117E-2</v>
          </cell>
          <cell r="F54">
            <v>3.11529619035033E-2</v>
          </cell>
          <cell r="G54">
            <v>4.3489972275047799E-2</v>
          </cell>
        </row>
        <row r="55">
          <cell r="B55">
            <v>0</v>
          </cell>
          <cell r="C55">
            <v>2.7171189355516701E-2</v>
          </cell>
          <cell r="D55">
            <v>3.3386328609919498E-7</v>
          </cell>
          <cell r="E55">
            <v>6.4287395706221001E-7</v>
          </cell>
          <cell r="F55">
            <v>9.7041905161852598E-5</v>
          </cell>
          <cell r="G55">
            <v>1.52270891720641E-7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7.8916457412714396E-5</v>
          </cell>
          <cell r="F56">
            <v>2.8107654926987798E-5</v>
          </cell>
          <cell r="G56">
            <v>1.8600123275654101E-5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3.0319485863166301E-5</v>
          </cell>
          <cell r="F58">
            <v>4.53936174137746E-4</v>
          </cell>
          <cell r="G58">
            <v>0.34785831433557701</v>
          </cell>
        </row>
        <row r="63">
          <cell r="B63">
            <v>0</v>
          </cell>
          <cell r="C63">
            <v>2.4109371520882398E-7</v>
          </cell>
          <cell r="D63">
            <v>2.6130472065303902E-7</v>
          </cell>
          <cell r="E63">
            <v>2.6681208096196401E-7</v>
          </cell>
          <cell r="F63">
            <v>7.8519463025142597E-7</v>
          </cell>
          <cell r="G63">
            <v>6.2349467859868798E-7</v>
          </cell>
        </row>
        <row r="64">
          <cell r="B64">
            <v>5.9779626547404698E-4</v>
          </cell>
          <cell r="C64">
            <v>7.9254287195896E-7</v>
          </cell>
          <cell r="D64">
            <v>3.7176479628452702E-6</v>
          </cell>
          <cell r="E64">
            <v>1.04501147925366E-4</v>
          </cell>
          <cell r="F64">
            <v>3.3954663729012E-2</v>
          </cell>
          <cell r="G64">
            <v>0.17864861664326301</v>
          </cell>
        </row>
        <row r="65">
          <cell r="B65">
            <v>4.4044716866207298E-4</v>
          </cell>
          <cell r="C65">
            <v>5.9125584552399605E-7</v>
          </cell>
          <cell r="D65">
            <v>2.56309073624786E-6</v>
          </cell>
          <cell r="E65">
            <v>9.0245385039178398E-5</v>
          </cell>
          <cell r="F65">
            <v>1.9360412115459E-3</v>
          </cell>
          <cell r="G65">
            <v>4.4372109405844797E-3</v>
          </cell>
        </row>
        <row r="66">
          <cell r="B66">
            <v>4.0921194264676E-4</v>
          </cell>
          <cell r="C66">
            <v>6.4242104872523405E-7</v>
          </cell>
          <cell r="D66">
            <v>1.7098000690103599E-6</v>
          </cell>
          <cell r="E66">
            <v>1.8911747349399301E-2</v>
          </cell>
          <cell r="F66">
            <v>8.9916552576000994E-2</v>
          </cell>
          <cell r="G66">
            <v>0.12428152468563</v>
          </cell>
        </row>
        <row r="67">
          <cell r="B67">
            <v>8.170924437266591E-4</v>
          </cell>
          <cell r="C67">
            <v>1.2849166316682891E-6</v>
          </cell>
          <cell r="D67">
            <v>3.6568796615441199E-6</v>
          </cell>
          <cell r="E67">
            <v>2.9366514185569001E-2</v>
          </cell>
          <cell r="F67">
            <v>6.7816477943451001E-3</v>
          </cell>
          <cell r="G67">
            <v>6.6307857338973901E-3</v>
          </cell>
        </row>
        <row r="68">
          <cell r="B68">
            <v>8.1688256236264593E-4</v>
          </cell>
          <cell r="C68">
            <v>1.2848336556964929E-6</v>
          </cell>
          <cell r="D68">
            <v>3.6539480813164398E-6</v>
          </cell>
          <cell r="E68">
            <v>2.94579307207395E-2</v>
          </cell>
          <cell r="F68">
            <v>8.7166371547065594E-3</v>
          </cell>
          <cell r="G68">
            <v>5.6506840333631998E-3</v>
          </cell>
        </row>
        <row r="69">
          <cell r="B69">
            <v>4.1062546388968802E-4</v>
          </cell>
          <cell r="C69">
            <v>6.4418323040954197E-7</v>
          </cell>
          <cell r="D69">
            <v>1.7197391996137701E-6</v>
          </cell>
          <cell r="E69">
            <v>1.6736183557014301E-2</v>
          </cell>
          <cell r="F69">
            <v>7.1767796317218002E-3</v>
          </cell>
          <cell r="G69">
            <v>3.1180964652471302E-3</v>
          </cell>
        </row>
      </sheetData>
      <sheetData sheetId="37"/>
      <sheetData sheetId="38"/>
      <sheetData sheetId="39"/>
      <sheetData sheetId="40"/>
      <sheetData sheetId="41"/>
      <sheetData sheetId="42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1.187064676275747E-3</v>
          </cell>
        </row>
      </sheetData>
      <sheetData sheetId="43">
        <row r="5">
          <cell r="B5">
            <v>0.66841305727648392</v>
          </cell>
          <cell r="C5">
            <v>0.63726387165427201</v>
          </cell>
          <cell r="D5">
            <v>1.2035553105154455</v>
          </cell>
          <cell r="E5">
            <v>1.4164020332192349E-4</v>
          </cell>
          <cell r="F5">
            <v>1.1151214803555921E-4</v>
          </cell>
          <cell r="G5">
            <v>7.1162114393426095E-5</v>
          </cell>
        </row>
        <row r="12">
          <cell r="B12">
            <v>0.1916626461791609</v>
          </cell>
          <cell r="C12">
            <v>2.9842972146335857E-5</v>
          </cell>
          <cell r="D12">
            <v>0.20684047188435184</v>
          </cell>
          <cell r="E12">
            <v>6.7535030794277281E-5</v>
          </cell>
          <cell r="F12">
            <v>6.6698175709827958E-5</v>
          </cell>
          <cell r="G12">
            <v>3.6222924798538225E-5</v>
          </cell>
        </row>
        <row r="19">
          <cell r="B19">
            <v>1.3280091174643331</v>
          </cell>
          <cell r="C19">
            <v>3.7440522589622196</v>
          </cell>
          <cell r="D19">
            <v>4.384649977747646</v>
          </cell>
          <cell r="E19">
            <v>4.3847645814473006</v>
          </cell>
          <cell r="F19">
            <v>5.1131911574657574</v>
          </cell>
          <cell r="G19">
            <v>6.5773818727606699</v>
          </cell>
        </row>
        <row r="20">
          <cell r="B20">
            <v>5.6294174918516209</v>
          </cell>
          <cell r="C20">
            <v>6.2378429241645739</v>
          </cell>
          <cell r="D20">
            <v>6.0286683864379818</v>
          </cell>
          <cell r="E20">
            <v>6.218372341083942</v>
          </cell>
          <cell r="F20">
            <v>6.0506776027477107</v>
          </cell>
          <cell r="G20">
            <v>8.669745466778906</v>
          </cell>
        </row>
        <row r="21">
          <cell r="B21">
            <v>0</v>
          </cell>
          <cell r="C21">
            <v>5.4989486915303783E-5</v>
          </cell>
          <cell r="D21">
            <v>1.441372478635769E-4</v>
          </cell>
          <cell r="E21">
            <v>2.2512865568162746E-4</v>
          </cell>
          <cell r="F21">
            <v>2.8505565921613376E-4</v>
          </cell>
          <cell r="G21">
            <v>2.8231376808197635E-4</v>
          </cell>
        </row>
        <row r="28">
          <cell r="B28">
            <v>3.3306472444687169E-3</v>
          </cell>
          <cell r="C28">
            <v>4.9774838042227834E-3</v>
          </cell>
          <cell r="D28">
            <v>8.1758005713241429E-3</v>
          </cell>
          <cell r="E28">
            <v>2.4577788798139613E-2</v>
          </cell>
          <cell r="F28">
            <v>0.20772707046391972</v>
          </cell>
          <cell r="G28">
            <v>0.20773504638436749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9.0216915396956797E-4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3.6187359935713881E-4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</row>
        <row r="38">
          <cell r="B38">
            <v>1.2890788461961467</v>
          </cell>
          <cell r="C38">
            <v>4.1790548556566387</v>
          </cell>
          <cell r="D38">
            <v>3.4771477121627368</v>
          </cell>
          <cell r="E38">
            <v>3.47701462449391</v>
          </cell>
          <cell r="F38">
            <v>3.4756688880352873</v>
          </cell>
          <cell r="G38">
            <v>3.4767843279060227</v>
          </cell>
        </row>
        <row r="39">
          <cell r="B39">
            <v>1.1764785163233034</v>
          </cell>
          <cell r="C39">
            <v>3.8140167071429172</v>
          </cell>
          <cell r="D39">
            <v>3.1734207674832344</v>
          </cell>
          <cell r="E39">
            <v>3.1732993049492517</v>
          </cell>
          <cell r="F39">
            <v>3.172071117831861</v>
          </cell>
          <cell r="G39">
            <v>3.1730891246419533</v>
          </cell>
        </row>
      </sheetData>
      <sheetData sheetId="44">
        <row r="3">
          <cell r="B3">
            <v>48.063397652170998</v>
          </cell>
          <cell r="C3">
            <v>50.716979638892987</v>
          </cell>
          <cell r="D3">
            <v>51.966649912705805</v>
          </cell>
          <cell r="E3">
            <v>53.387141603701124</v>
          </cell>
          <cell r="F3">
            <v>54.74260094860113</v>
          </cell>
          <cell r="G3">
            <v>56.264971372460813</v>
          </cell>
        </row>
        <row r="6">
          <cell r="B6">
            <v>0</v>
          </cell>
          <cell r="C6">
            <v>4.894262680569998</v>
          </cell>
          <cell r="D6">
            <v>4.8942606562643425</v>
          </cell>
          <cell r="E6">
            <v>4.895188510928099</v>
          </cell>
          <cell r="F6">
            <v>7.8288594533777145</v>
          </cell>
          <cell r="G6">
            <v>9.9640400882290621</v>
          </cell>
        </row>
        <row r="11">
          <cell r="B11">
            <v>60.070067379975121</v>
          </cell>
          <cell r="C11">
            <v>62.576432696246016</v>
          </cell>
          <cell r="D11">
            <v>64.560712877347953</v>
          </cell>
          <cell r="E11">
            <v>66.635185181615753</v>
          </cell>
          <cell r="F11">
            <v>67.50566381543149</v>
          </cell>
          <cell r="G11">
            <v>68.11205077847417</v>
          </cell>
        </row>
        <row r="18">
          <cell r="B18">
            <v>3.5600202094959159</v>
          </cell>
          <cell r="C18">
            <v>3.4647208701173744</v>
          </cell>
          <cell r="D18">
            <v>3.2263863350458362</v>
          </cell>
          <cell r="E18">
            <v>6.4355195221457641E-4</v>
          </cell>
          <cell r="F18">
            <v>6.3286740870591672E-4</v>
          </cell>
          <cell r="G18">
            <v>3.4793620773534078E-4</v>
          </cell>
        </row>
        <row r="19">
          <cell r="B19">
            <v>12.728665789343486</v>
          </cell>
          <cell r="C19">
            <v>13.638436133476795</v>
          </cell>
          <cell r="D19">
            <v>13.478574825933332</v>
          </cell>
          <cell r="E19">
            <v>15.508093061826997</v>
          </cell>
          <cell r="F19">
            <v>16.192306546332706</v>
          </cell>
          <cell r="G19">
            <v>18.428395576417707</v>
          </cell>
        </row>
        <row r="21">
          <cell r="B21">
            <v>7.7980651425302456</v>
          </cell>
          <cell r="C21">
            <v>8.0801892685551167</v>
          </cell>
          <cell r="D21">
            <v>5.6083646236668514</v>
          </cell>
          <cell r="E21">
            <v>5.5457076540650121</v>
          </cell>
          <cell r="F21">
            <v>5.4553630729215659</v>
          </cell>
          <cell r="G21">
            <v>5.4000595987118611</v>
          </cell>
        </row>
        <row r="22">
          <cell r="B22">
            <v>6.7689304247871174E-2</v>
          </cell>
          <cell r="C22">
            <v>8.5502402786570494E-2</v>
          </cell>
          <cell r="D22">
            <v>8.4085612211990637E-2</v>
          </cell>
          <cell r="E22">
            <v>8.5586190678340945E-2</v>
          </cell>
          <cell r="F22">
            <v>8.5448951637461204E-2</v>
          </cell>
          <cell r="G22">
            <v>8.5577119847331934E-2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4.3547540051563749E-2</v>
          </cell>
          <cell r="F23">
            <v>0.36944335921369603</v>
          </cell>
          <cell r="G23">
            <v>0.33567642920644492</v>
          </cell>
        </row>
        <row r="24">
          <cell r="B24">
            <v>0.74851606334976817</v>
          </cell>
          <cell r="C24">
            <v>0.94974610852721697</v>
          </cell>
          <cell r="D24">
            <v>1.1538259847169428</v>
          </cell>
          <cell r="E24">
            <v>2.6656478291082797</v>
          </cell>
          <cell r="F24">
            <v>4.1047488613583045</v>
          </cell>
          <cell r="G24">
            <v>4.3287176148645576</v>
          </cell>
        </row>
        <row r="33">
          <cell r="B33">
            <v>12.006669727804121</v>
          </cell>
          <cell r="C33">
            <v>12.710056558864807</v>
          </cell>
          <cell r="D33">
            <v>13.444666026246201</v>
          </cell>
          <cell r="E33">
            <v>14.099056010019094</v>
          </cell>
          <cell r="F33">
            <v>14.615158930003883</v>
          </cell>
          <cell r="G33">
            <v>14.534095849352514</v>
          </cell>
        </row>
        <row r="34">
          <cell r="B34">
            <v>8.8978452515518107</v>
          </cell>
          <cell r="C34">
            <v>8.1052504335422881</v>
          </cell>
          <cell r="D34">
            <v>7.9750341384064827</v>
          </cell>
          <cell r="E34">
            <v>6.3494861061540018</v>
          </cell>
          <cell r="F34">
            <v>1.965056739031448</v>
          </cell>
          <cell r="G34">
            <v>1.1476010266133758E-4</v>
          </cell>
        </row>
        <row r="35">
          <cell r="B35">
            <v>2.7300194527988766</v>
          </cell>
          <cell r="C35">
            <v>2.5935516270715397</v>
          </cell>
          <cell r="D35">
            <v>3.2230192382543166E-3</v>
          </cell>
          <cell r="E35">
            <v>5.8550969670420605E-4</v>
          </cell>
          <cell r="F35">
            <v>6.9365013302147998E-4</v>
          </cell>
          <cell r="G35">
            <v>0</v>
          </cell>
        </row>
        <row r="36">
          <cell r="B36">
            <v>0</v>
          </cell>
          <cell r="C36">
            <v>0</v>
          </cell>
          <cell r="D36">
            <v>8.2766781650799194E-5</v>
          </cell>
          <cell r="E36">
            <v>0.14425356322593955</v>
          </cell>
          <cell r="F36">
            <v>1.3010030986877783</v>
          </cell>
          <cell r="G36">
            <v>0.67972359792777992</v>
          </cell>
        </row>
        <row r="37">
          <cell r="B37">
            <v>35.240517362265805</v>
          </cell>
          <cell r="C37">
            <v>29.789540535496815</v>
          </cell>
          <cell r="D37">
            <v>32.620257698997655</v>
          </cell>
          <cell r="E37">
            <v>28.406378939783433</v>
          </cell>
          <cell r="F37">
            <v>24.902925225313663</v>
          </cell>
          <cell r="G37">
            <v>18.425939755167693</v>
          </cell>
        </row>
        <row r="38">
          <cell r="B38">
            <v>0.31184759630443648</v>
          </cell>
          <cell r="C38">
            <v>5.7302871726391458E-5</v>
          </cell>
          <cell r="D38">
            <v>0.90011497417184905</v>
          </cell>
          <cell r="E38">
            <v>2.5460818155409659</v>
          </cell>
          <cell r="F38">
            <v>2.610897168902349</v>
          </cell>
          <cell r="G38">
            <v>2.6216497192772197</v>
          </cell>
        </row>
        <row r="39">
          <cell r="B39">
            <v>0.43676157628678225</v>
          </cell>
          <cell r="C39">
            <v>0.55207409248493622</v>
          </cell>
          <cell r="D39">
            <v>2.7098498926148737</v>
          </cell>
          <cell r="E39">
            <v>5.5619447395981858</v>
          </cell>
          <cell r="F39">
            <v>6.4187004309308904</v>
          </cell>
          <cell r="G39">
            <v>11.140836746794079</v>
          </cell>
        </row>
        <row r="55">
          <cell r="B55">
            <v>9.8139214632894181</v>
          </cell>
          <cell r="C55">
            <v>10.335089674566261</v>
          </cell>
          <cell r="D55">
            <v>10.890926001314831</v>
          </cell>
          <cell r="E55">
            <v>10.890928599941295</v>
          </cell>
          <cell r="F55">
            <v>10.890931436568509</v>
          </cell>
          <cell r="G55">
            <v>10.890935250650976</v>
          </cell>
        </row>
        <row r="56">
          <cell r="B56">
            <v>1.1082100526216789</v>
          </cell>
          <cell r="C56">
            <v>1.4008167347774234</v>
          </cell>
          <cell r="D56">
            <v>1.6863178221078707</v>
          </cell>
          <cell r="E56">
            <v>3.8704590395783587</v>
          </cell>
          <cell r="F56">
            <v>5.8487570140627039</v>
          </cell>
          <cell r="G56">
            <v>5.9016968512518648</v>
          </cell>
        </row>
        <row r="57">
          <cell r="B57">
            <v>6.9177377416453822</v>
          </cell>
          <cell r="C57">
            <v>6.3117196907671813</v>
          </cell>
          <cell r="D57">
            <v>6.2254282201204854</v>
          </cell>
          <cell r="E57">
            <v>5.0894743055152869</v>
          </cell>
          <cell r="F57">
            <v>2.5803168243092265</v>
          </cell>
          <cell r="G57">
            <v>0.5413746145673145</v>
          </cell>
        </row>
        <row r="58">
          <cell r="B58">
            <v>1.8458344025236404</v>
          </cell>
          <cell r="C58">
            <v>1.7611512323629284</v>
          </cell>
          <cell r="D58">
            <v>2.2027322106444327E-3</v>
          </cell>
          <cell r="E58">
            <v>4.0444082299843036E-4</v>
          </cell>
          <cell r="F58">
            <v>4.8928346258002655E-4</v>
          </cell>
          <cell r="G58">
            <v>0</v>
          </cell>
        </row>
        <row r="59">
          <cell r="B59">
            <v>28.619772219943563</v>
          </cell>
          <cell r="C59">
            <v>24.001715951301481</v>
          </cell>
          <cell r="D59">
            <v>27.039281723346143</v>
          </cell>
          <cell r="E59">
            <v>25.038847388656588</v>
          </cell>
          <cell r="F59">
            <v>22.462628332680769</v>
          </cell>
          <cell r="G59">
            <v>17.164689744988472</v>
          </cell>
        </row>
        <row r="60">
          <cell r="B60">
            <v>0</v>
          </cell>
          <cell r="C60">
            <v>0</v>
          </cell>
          <cell r="D60">
            <v>8.8294139864048306E-3</v>
          </cell>
          <cell r="E60">
            <v>6.8473452043479911E-3</v>
          </cell>
          <cell r="F60">
            <v>2.8448468755811494E-2</v>
          </cell>
          <cell r="G60">
            <v>0.26699079492788069</v>
          </cell>
        </row>
        <row r="61">
          <cell r="B61">
            <v>2.367413439314785</v>
          </cell>
          <cell r="C61">
            <v>2.3075040994981739</v>
          </cell>
          <cell r="D61">
            <v>2.1536128786430941</v>
          </cell>
          <cell r="E61">
            <v>4.3117980798376633E-4</v>
          </cell>
          <cell r="F61">
            <v>4.2718550087649372E-4</v>
          </cell>
          <cell r="G61">
            <v>2.365966212600318E-4</v>
          </cell>
        </row>
        <row r="62">
          <cell r="B62">
            <v>5.1850659289300083</v>
          </cell>
          <cell r="C62">
            <v>5.5675625877540389</v>
          </cell>
          <cell r="D62">
            <v>5.6786924621459187</v>
          </cell>
          <cell r="E62">
            <v>7.2047408293695092</v>
          </cell>
          <cell r="F62">
            <v>7.5770889246826867</v>
          </cell>
          <cell r="G62">
            <v>9.233685867269287</v>
          </cell>
        </row>
        <row r="63">
          <cell r="B63">
            <v>6.5822834449050616</v>
          </cell>
          <cell r="C63">
            <v>7.067853364862529</v>
          </cell>
          <cell r="D63">
            <v>6.8486523893728046</v>
          </cell>
          <cell r="E63">
            <v>7.2856610928738919</v>
          </cell>
          <cell r="F63">
            <v>7.7132133218416694</v>
          </cell>
          <cell r="G63">
            <v>8.2734818795582932</v>
          </cell>
        </row>
        <row r="64">
          <cell r="B64">
            <v>5.3111478238092333</v>
          </cell>
          <cell r="C64">
            <v>6.2669447821477684</v>
          </cell>
          <cell r="D64">
            <v>5.8090581725377533</v>
          </cell>
          <cell r="E64">
            <v>5.8970994983395668</v>
          </cell>
          <cell r="F64">
            <v>5.7393959748711376</v>
          </cell>
          <cell r="G64">
            <v>5.6130009193296537</v>
          </cell>
        </row>
        <row r="65">
          <cell r="B65">
            <v>0.46153029641525228</v>
          </cell>
          <cell r="C65">
            <v>0.54457994249643371</v>
          </cell>
          <cell r="D65">
            <v>0.54482016693279922</v>
          </cell>
          <cell r="E65">
            <v>0.54482085654666312</v>
          </cell>
          <cell r="F65">
            <v>0.54483337386313102</v>
          </cell>
          <cell r="G65">
            <v>0.54483520526892892</v>
          </cell>
        </row>
        <row r="66">
          <cell r="B66">
            <v>4.1173783952559697</v>
          </cell>
          <cell r="C66">
            <v>4.2663399337971022</v>
          </cell>
          <cell r="D66">
            <v>2.9612165212960986</v>
          </cell>
          <cell r="E66">
            <v>2.9281336413463306</v>
          </cell>
          <cell r="F66">
            <v>2.8804317025025856</v>
          </cell>
          <cell r="G66">
            <v>2.9376324216992522</v>
          </cell>
        </row>
        <row r="67">
          <cell r="B67">
            <v>6.7689304247871174E-2</v>
          </cell>
          <cell r="C67">
            <v>8.5502402786570494E-2</v>
          </cell>
          <cell r="D67">
            <v>8.4085612211990637E-2</v>
          </cell>
          <cell r="E67">
            <v>8.5586190678340945E-2</v>
          </cell>
          <cell r="F67">
            <v>8.5448951637461204E-2</v>
          </cell>
          <cell r="G67">
            <v>8.5577119847331934E-2</v>
          </cell>
        </row>
        <row r="68">
          <cell r="B68">
            <v>0.31053748073990239</v>
          </cell>
          <cell r="C68">
            <v>0.39252467975678951</v>
          </cell>
          <cell r="D68">
            <v>1.9267032736491789</v>
          </cell>
          <cell r="E68">
            <v>3.95454270985431</v>
          </cell>
          <cell r="F68">
            <v>4.5636960063918588</v>
          </cell>
          <cell r="G68">
            <v>8.0214024576917335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1.928070350422293E-2</v>
          </cell>
          <cell r="F69">
            <v>0.16766070507818442</v>
          </cell>
          <cell r="G69">
            <v>0.16897124600942887</v>
          </cell>
        </row>
        <row r="70">
          <cell r="B70">
            <v>0</v>
          </cell>
          <cell r="C70">
            <v>4.0436561905718289</v>
          </cell>
          <cell r="D70">
            <v>4.0436545180837289</v>
          </cell>
          <cell r="E70">
            <v>4.0442380331269998</v>
          </cell>
          <cell r="F70">
            <v>5.9770277961079064</v>
          </cell>
          <cell r="G70">
            <v>7.3988930310410801</v>
          </cell>
        </row>
        <row r="71">
          <cell r="B71">
            <v>72.708521993641753</v>
          </cell>
          <cell r="C71">
            <v>74.352961267446517</v>
          </cell>
          <cell r="D71">
            <v>75.903481907959744</v>
          </cell>
          <cell r="E71">
            <v>76.861495855166709</v>
          </cell>
          <cell r="F71">
            <v>77.060795302317104</v>
          </cell>
          <cell r="G71">
            <v>77.043404000722759</v>
          </cell>
        </row>
      </sheetData>
      <sheetData sheetId="45">
        <row r="3">
          <cell r="B3">
            <v>56.994774574912441</v>
          </cell>
          <cell r="C3">
            <v>58.701894762075916</v>
          </cell>
          <cell r="D3">
            <v>58.514861442665733</v>
          </cell>
          <cell r="E3">
            <v>58.515983712033254</v>
          </cell>
          <cell r="F3">
            <v>58.583167624589336</v>
          </cell>
          <cell r="G3">
            <v>57.350270525314414</v>
          </cell>
        </row>
        <row r="6">
          <cell r="B6">
            <v>0</v>
          </cell>
          <cell r="C6">
            <v>6.9646440341420819</v>
          </cell>
          <cell r="D6">
            <v>2.235639735376358</v>
          </cell>
          <cell r="E6">
            <v>4.0631552895302612</v>
          </cell>
          <cell r="F6">
            <v>7.5651168864264271</v>
          </cell>
          <cell r="G6">
            <v>10.781446377747868</v>
          </cell>
        </row>
        <row r="11">
          <cell r="B11">
            <v>60.950056286207641</v>
          </cell>
          <cell r="C11">
            <v>60.772363243904238</v>
          </cell>
          <cell r="D11">
            <v>61.27771443700945</v>
          </cell>
          <cell r="E11">
            <v>61.677503379841276</v>
          </cell>
          <cell r="F11">
            <v>62.594801130795972</v>
          </cell>
          <cell r="G11">
            <v>62.114496080630126</v>
          </cell>
        </row>
        <row r="12">
          <cell r="B12">
            <v>30.256634448509324</v>
          </cell>
          <cell r="C12">
            <v>26.525164356439156</v>
          </cell>
          <cell r="D12">
            <v>26.496173961464752</v>
          </cell>
          <cell r="E12">
            <v>19.190741503788207</v>
          </cell>
          <cell r="F12">
            <v>12.019184431786845</v>
          </cell>
          <cell r="G12">
            <v>5.1940886535604145</v>
          </cell>
        </row>
        <row r="13">
          <cell r="B13">
            <v>0</v>
          </cell>
          <cell r="C13">
            <v>0</v>
          </cell>
          <cell r="D13">
            <v>6.3062282626303586E-5</v>
          </cell>
          <cell r="E13">
            <v>1.8141251698940928E-4</v>
          </cell>
          <cell r="F13">
            <v>2.0432016053988428E-4</v>
          </cell>
          <cell r="G13">
            <v>1.4038633224352126E-4</v>
          </cell>
        </row>
        <row r="14">
          <cell r="B14">
            <v>25.260328489203676</v>
          </cell>
          <cell r="C14">
            <v>25.155371292348423</v>
          </cell>
          <cell r="D14">
            <v>24.147178539803225</v>
          </cell>
          <cell r="E14">
            <v>22.838834546337004</v>
          </cell>
          <cell r="F14">
            <v>17.287083848729747</v>
          </cell>
          <cell r="G14">
            <v>12.6757477598618</v>
          </cell>
        </row>
        <row r="15">
          <cell r="B15">
            <v>0.28836175589952506</v>
          </cell>
          <cell r="C15">
            <v>1.5944126223339632</v>
          </cell>
          <cell r="D15">
            <v>0.96773511844225024</v>
          </cell>
          <cell r="E15">
            <v>6.825544485556639E-4</v>
          </cell>
          <cell r="F15">
            <v>1.5140799869051749E-4</v>
          </cell>
          <cell r="G15">
            <v>5.7299486504596972E-5</v>
          </cell>
        </row>
        <row r="16">
          <cell r="B16">
            <v>1.4022864268567998</v>
          </cell>
          <cell r="C16">
            <v>1.5372349097723037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17">
          <cell r="B17">
            <v>7.7269008951994813</v>
          </cell>
          <cell r="C17">
            <v>8.3697057465036</v>
          </cell>
          <cell r="D17">
            <v>5.9724310178058841</v>
          </cell>
          <cell r="E17">
            <v>6.9388697433061797</v>
          </cell>
          <cell r="F17">
            <v>7.8909819168933808</v>
          </cell>
          <cell r="G17">
            <v>8.3851592269940767</v>
          </cell>
        </row>
        <row r="19">
          <cell r="B19">
            <v>0.62700671930761676</v>
          </cell>
          <cell r="C19">
            <v>0.68735545931227937</v>
          </cell>
          <cell r="D19">
            <v>0.52902670081987391</v>
          </cell>
          <cell r="E19">
            <v>0.61605070896952618</v>
          </cell>
          <cell r="F19">
            <v>0.74256233133239768</v>
          </cell>
          <cell r="G19">
            <v>0.88984948267205854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B21">
            <v>2.9296217272130329</v>
          </cell>
          <cell r="C21">
            <v>3.1924659585514243</v>
          </cell>
          <cell r="D21">
            <v>3.8991814146456734</v>
          </cell>
          <cell r="E21">
            <v>6.6347212735936951</v>
          </cell>
          <cell r="F21">
            <v>10.883030042619719</v>
          </cell>
          <cell r="G21">
            <v>15.418137774383698</v>
          </cell>
        </row>
        <row r="28">
          <cell r="B28">
            <v>3.9552817112951955</v>
          </cell>
          <cell r="C28">
            <v>2.0704684818283212</v>
          </cell>
          <cell r="D28">
            <v>2.7628529943437079</v>
          </cell>
          <cell r="E28">
            <v>3.1615196678080224</v>
          </cell>
          <cell r="F28">
            <v>4.0116335062066382</v>
          </cell>
          <cell r="G28">
            <v>4.764225555315714</v>
          </cell>
        </row>
        <row r="47">
          <cell r="B47">
            <v>4.2612679668553195</v>
          </cell>
          <cell r="C47">
            <v>4.6176739757618792</v>
          </cell>
          <cell r="D47">
            <v>4.7181790993531028</v>
          </cell>
          <cell r="E47">
            <v>7.3616481240944553</v>
          </cell>
          <cell r="F47">
            <v>11.3167802404216</v>
          </cell>
          <cell r="G47">
            <v>15.25089985330624</v>
          </cell>
        </row>
        <row r="48">
          <cell r="B48">
            <v>24.843069951594657</v>
          </cell>
          <cell r="C48">
            <v>21.822367550281513</v>
          </cell>
          <cell r="D48">
            <v>21.043678054276636</v>
          </cell>
          <cell r="E48">
            <v>15.552249391407235</v>
          </cell>
          <cell r="F48">
            <v>9.8246695014882821</v>
          </cell>
          <cell r="G48">
            <v>4.245771951066148</v>
          </cell>
        </row>
        <row r="49">
          <cell r="B49">
            <v>24.189717359725375</v>
          </cell>
          <cell r="C49">
            <v>25.326923068156745</v>
          </cell>
          <cell r="D49">
            <v>20.706932059583416</v>
          </cell>
          <cell r="E49">
            <v>18.202984929806597</v>
          </cell>
          <cell r="F49">
            <v>12.419123526409546</v>
          </cell>
          <cell r="G49">
            <v>7.4289590568378658</v>
          </cell>
        </row>
        <row r="50">
          <cell r="B50">
            <v>0</v>
          </cell>
          <cell r="C50">
            <v>0</v>
          </cell>
          <cell r="D50">
            <v>1.7587553112277454</v>
          </cell>
          <cell r="E50">
            <v>3.4759552160372738</v>
          </cell>
          <cell r="F50">
            <v>5.9951029812916223</v>
          </cell>
          <cell r="G50">
            <v>8.6558037864653947</v>
          </cell>
        </row>
        <row r="51">
          <cell r="B51">
            <v>2.0957259422943397</v>
          </cell>
          <cell r="C51">
            <v>2.2700707729478165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B52">
            <v>5.5539059439531435</v>
          </cell>
          <cell r="C52">
            <v>6.0159379160907474</v>
          </cell>
          <cell r="D52">
            <v>4.9162375419161517</v>
          </cell>
          <cell r="E52">
            <v>5.7370447801611126</v>
          </cell>
          <cell r="F52">
            <v>6.5242493794224998</v>
          </cell>
          <cell r="G52">
            <v>6.9328342732551418</v>
          </cell>
        </row>
        <row r="53">
          <cell r="B53">
            <v>6.1735491224570991</v>
          </cell>
          <cell r="C53">
            <v>6.7779154979552656</v>
          </cell>
          <cell r="D53">
            <v>6.4441791461791906</v>
          </cell>
          <cell r="E53">
            <v>6.5777740480288598</v>
          </cell>
          <cell r="F53">
            <v>5.724033026179022</v>
          </cell>
          <cell r="G53">
            <v>5.0823461869888638</v>
          </cell>
        </row>
        <row r="54">
          <cell r="B54">
            <v>1.8770767063479703</v>
          </cell>
          <cell r="C54">
            <v>2.1600868027380549</v>
          </cell>
          <cell r="D54">
            <v>0.44757659949395701</v>
          </cell>
          <cell r="E54">
            <v>0.75648915469038847</v>
          </cell>
          <cell r="F54">
            <v>1.0745662303424859</v>
          </cell>
          <cell r="G54">
            <v>1.3133791263197232</v>
          </cell>
        </row>
        <row r="55">
          <cell r="B55">
            <v>0.62700671930761676</v>
          </cell>
          <cell r="C55">
            <v>0.68735545931227937</v>
          </cell>
          <cell r="D55">
            <v>0.52902670081987391</v>
          </cell>
          <cell r="E55">
            <v>0.61605070896952618</v>
          </cell>
          <cell r="F55">
            <v>0.74256233133239768</v>
          </cell>
          <cell r="G55">
            <v>0.88984948267205854</v>
          </cell>
        </row>
        <row r="56">
          <cell r="B56">
            <v>1.2230742215044998</v>
          </cell>
          <cell r="C56">
            <v>1.340776288303402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</row>
        <row r="58">
          <cell r="B58">
            <v>0</v>
          </cell>
          <cell r="C58">
            <v>6.9646440341420819</v>
          </cell>
          <cell r="D58">
            <v>2.235639735376358</v>
          </cell>
          <cell r="E58">
            <v>4.0631552895302612</v>
          </cell>
          <cell r="F58">
            <v>7.5651168864264271</v>
          </cell>
          <cell r="G58">
            <v>10.781446377747868</v>
          </cell>
        </row>
        <row r="59">
          <cell r="B59">
            <v>73.238461301923294</v>
          </cell>
          <cell r="C59">
            <v>78.574164690815138</v>
          </cell>
          <cell r="D59">
            <v>63.322030587311488</v>
          </cell>
          <cell r="E59">
            <v>62.697353790839969</v>
          </cell>
          <cell r="F59">
            <v>61.448736374063799</v>
          </cell>
          <cell r="G59">
            <v>60.775011667447345</v>
          </cell>
        </row>
      </sheetData>
      <sheetData sheetId="46">
        <row r="3">
          <cell r="B3">
            <v>44.576906092797657</v>
          </cell>
          <cell r="C3">
            <v>44.861183007589794</v>
          </cell>
          <cell r="D3">
            <v>49.523420615002273</v>
          </cell>
          <cell r="E3">
            <v>50.016880955871351</v>
          </cell>
          <cell r="F3">
            <v>50.540472034830387</v>
          </cell>
          <cell r="G3">
            <v>50.053439145735688</v>
          </cell>
        </row>
        <row r="10">
          <cell r="B10">
            <v>6.6195290092463749E-2</v>
          </cell>
          <cell r="C10">
            <v>7.8423472515206445</v>
          </cell>
          <cell r="D10">
            <v>5.1218937292839986</v>
          </cell>
          <cell r="E10">
            <v>9.2433156419320444</v>
          </cell>
          <cell r="F10">
            <v>16.9920841227338</v>
          </cell>
          <cell r="G10">
            <v>24.245289952583885</v>
          </cell>
        </row>
        <row r="15">
          <cell r="B15">
            <v>69.470150123642156</v>
          </cell>
          <cell r="C15">
            <v>69.648129012004901</v>
          </cell>
          <cell r="D15">
            <v>69.475901754880141</v>
          </cell>
          <cell r="E15">
            <v>70.668990431573576</v>
          </cell>
          <cell r="F15">
            <v>72.798485411218067</v>
          </cell>
          <cell r="G15">
            <v>73.424123707257124</v>
          </cell>
        </row>
        <row r="16">
          <cell r="B16">
            <v>60.231879074642173</v>
          </cell>
          <cell r="C16">
            <v>51.320047944755252</v>
          </cell>
          <cell r="D16">
            <v>49.881971628401168</v>
          </cell>
          <cell r="E16">
            <v>32.475742943248221</v>
          </cell>
          <cell r="F16">
            <v>17.225960488200162</v>
          </cell>
          <cell r="G16">
            <v>5.7030344262247938</v>
          </cell>
        </row>
        <row r="17">
          <cell r="B17">
            <v>0</v>
          </cell>
          <cell r="C17">
            <v>0</v>
          </cell>
          <cell r="D17">
            <v>6.3312786850699797E-5</v>
          </cell>
          <cell r="E17">
            <v>1.8515267103120508E-4</v>
          </cell>
          <cell r="F17">
            <v>2.0711257328206488E-4</v>
          </cell>
          <cell r="G17">
            <v>1.4084033020694654E-4</v>
          </cell>
        </row>
        <row r="18">
          <cell r="B18">
            <v>46.69194068383193</v>
          </cell>
          <cell r="C18">
            <v>46.177573990375485</v>
          </cell>
          <cell r="D18">
            <v>47.318336250305755</v>
          </cell>
          <cell r="E18">
            <v>43.940668075731089</v>
          </cell>
          <cell r="F18">
            <v>33.306414227076743</v>
          </cell>
          <cell r="G18">
            <v>24.559327173777</v>
          </cell>
        </row>
        <row r="19">
          <cell r="B19">
            <v>0.31000796920405987</v>
          </cell>
          <cell r="C19">
            <v>2.0880898891660791</v>
          </cell>
          <cell r="D19">
            <v>1.1842885445536204</v>
          </cell>
          <cell r="E19">
            <v>6.6365044671112502E-4</v>
          </cell>
          <cell r="F19">
            <v>1.1181020690205902E-4</v>
          </cell>
          <cell r="G19">
            <v>6.551165854121054E-5</v>
          </cell>
        </row>
        <row r="20">
          <cell r="B20">
            <v>0.10000396397992256</v>
          </cell>
          <cell r="C20">
            <v>0.10000261910647119</v>
          </cell>
          <cell r="D20">
            <v>2.6955231934970274E-2</v>
          </cell>
          <cell r="E20">
            <v>6.0623792834713728E-3</v>
          </cell>
          <cell r="F20">
            <v>0</v>
          </cell>
          <cell r="G20">
            <v>0</v>
          </cell>
        </row>
        <row r="21">
          <cell r="B21">
            <v>8.3978036856412377</v>
          </cell>
          <cell r="C21">
            <v>9.6771181662999091</v>
          </cell>
          <cell r="D21">
            <v>8.3331380978752829</v>
          </cell>
          <cell r="E21">
            <v>9.4238700053402997</v>
          </cell>
          <cell r="F21">
            <v>10.195772146961637</v>
          </cell>
          <cell r="G21">
            <v>10.669100829175921</v>
          </cell>
        </row>
        <row r="22">
          <cell r="B22">
            <v>16.991290847516733</v>
          </cell>
          <cell r="C22">
            <v>17.796831904016873</v>
          </cell>
          <cell r="D22">
            <v>17.838997534581605</v>
          </cell>
          <cell r="E22">
            <v>17.333820698708376</v>
          </cell>
          <cell r="F22">
            <v>15.203170127378051</v>
          </cell>
          <cell r="G22">
            <v>13.216969299944694</v>
          </cell>
        </row>
        <row r="23">
          <cell r="B23">
            <v>2.50683695875711</v>
          </cell>
          <cell r="C23">
            <v>2.9281050087267779</v>
          </cell>
          <cell r="D23">
            <v>0.93614405156521752</v>
          </cell>
          <cell r="E23">
            <v>1.1108297580115554</v>
          </cell>
          <cell r="F23">
            <v>1.3316248779468407</v>
          </cell>
          <cell r="G23">
            <v>1.5416936729443544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</row>
        <row r="25">
          <cell r="B25">
            <v>15.195040907631874</v>
          </cell>
          <cell r="C25">
            <v>17.635766774980091</v>
          </cell>
          <cell r="D25">
            <v>25.438125451749222</v>
          </cell>
          <cell r="E25">
            <v>36.353606859578235</v>
          </cell>
          <cell r="F25">
            <v>49.83719416446516</v>
          </cell>
          <cell r="G25">
            <v>61.878475424119301</v>
          </cell>
        </row>
        <row r="26">
          <cell r="B26">
            <v>219.89495421484719</v>
          </cell>
          <cell r="C26">
            <v>217.37166530943185</v>
          </cell>
          <cell r="D26">
            <v>220.43392185863385</v>
          </cell>
          <cell r="E26">
            <v>211.31443995459256</v>
          </cell>
          <cell r="F26">
            <v>199.89894036602684</v>
          </cell>
          <cell r="G26">
            <v>190.99293088543195</v>
          </cell>
        </row>
        <row r="102">
          <cell r="B102">
            <v>8.9080643246951325</v>
          </cell>
          <cell r="C102">
            <v>7.5216954190433176</v>
          </cell>
          <cell r="D102">
            <v>0.83302878697923743</v>
          </cell>
          <cell r="E102">
            <v>0.22539421266459658</v>
          </cell>
          <cell r="F102">
            <v>4.1905293622278079E-2</v>
          </cell>
          <cell r="G102">
            <v>4.5089355068905386E-2</v>
          </cell>
        </row>
        <row r="104">
          <cell r="B104">
            <v>19.060398238566464</v>
          </cell>
          <cell r="C104">
            <v>22.070775376776766</v>
          </cell>
          <cell r="D104">
            <v>31.160855739729527</v>
          </cell>
          <cell r="E104">
            <v>39.457155431005226</v>
          </cell>
          <cell r="F104">
            <v>48.019563415821345</v>
          </cell>
          <cell r="G104">
            <v>54.576341832194657</v>
          </cell>
        </row>
        <row r="105">
          <cell r="B105">
            <v>45.12442704876797</v>
          </cell>
          <cell r="C105">
            <v>39.025771105903736</v>
          </cell>
          <cell r="D105">
            <v>34.817088721206858</v>
          </cell>
          <cell r="E105">
            <v>23.207562152225577</v>
          </cell>
          <cell r="F105">
            <v>12.399088102201254</v>
          </cell>
          <cell r="G105">
            <v>3.7601755219768078</v>
          </cell>
        </row>
        <row r="106">
          <cell r="B106">
            <v>36.569933552771701</v>
          </cell>
          <cell r="C106">
            <v>38.870729217131974</v>
          </cell>
          <cell r="D106">
            <v>33.105662957924473</v>
          </cell>
          <cell r="E106">
            <v>28.080345047820177</v>
          </cell>
          <cell r="F106">
            <v>17.271220030206539</v>
          </cell>
          <cell r="G106">
            <v>8.2105673816643634</v>
          </cell>
        </row>
        <row r="107">
          <cell r="B107">
            <v>0</v>
          </cell>
          <cell r="C107">
            <v>0</v>
          </cell>
          <cell r="D107">
            <v>4.4778525437521726</v>
          </cell>
          <cell r="E107">
            <v>9.5410454567790843</v>
          </cell>
          <cell r="F107">
            <v>15.426954923030969</v>
          </cell>
          <cell r="G107">
            <v>20.240052708770371</v>
          </cell>
        </row>
        <row r="108">
          <cell r="B108">
            <v>7.2002854065544297E-2</v>
          </cell>
          <cell r="C108">
            <v>7.2001885756659251E-2</v>
          </cell>
          <cell r="D108">
            <v>2.1545335069236466E-2</v>
          </cell>
          <cell r="E108">
            <v>4.849364689341505E-3</v>
          </cell>
          <cell r="F108">
            <v>0</v>
          </cell>
          <cell r="G108">
            <v>0</v>
          </cell>
        </row>
        <row r="109">
          <cell r="B109">
            <v>7.8239368436799364E-2</v>
          </cell>
          <cell r="C109">
            <v>1.0491725297897492E-2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B110">
            <v>6.5422172263115508</v>
          </cell>
          <cell r="C110">
            <v>7.6932431967225314</v>
          </cell>
          <cell r="D110">
            <v>5.87204719864034</v>
          </cell>
          <cell r="E110">
            <v>6.5737581937191045</v>
          </cell>
          <cell r="F110">
            <v>6.9450163688217401</v>
          </cell>
          <cell r="G110">
            <v>7.133212683806736</v>
          </cell>
        </row>
        <row r="111">
          <cell r="B111">
            <v>9.131093428232127</v>
          </cell>
          <cell r="C111">
            <v>9.1946411318464492</v>
          </cell>
          <cell r="D111">
            <v>10.380494272952026</v>
          </cell>
          <cell r="E111">
            <v>9.7844718944667051</v>
          </cell>
          <cell r="F111">
            <v>7.9417636841376851</v>
          </cell>
          <cell r="G111">
            <v>6.2720855500647854</v>
          </cell>
        </row>
        <row r="112">
          <cell r="B112">
            <v>2.6969071939763816</v>
          </cell>
          <cell r="C112">
            <v>3.1682322718003144</v>
          </cell>
          <cell r="D112">
            <v>0.37023162640836738</v>
          </cell>
          <cell r="E112">
            <v>0.57770905961899732</v>
          </cell>
          <cell r="F112">
            <v>0.79174673315197752</v>
          </cell>
          <cell r="G112">
            <v>0.94816820819845959</v>
          </cell>
        </row>
        <row r="113">
          <cell r="B113">
            <v>0.78534893409725881</v>
          </cell>
          <cell r="C113">
            <v>0.94134145998754382</v>
          </cell>
          <cell r="D113">
            <v>3.0984101604078024E-2</v>
          </cell>
          <cell r="E113">
            <v>3.6093124917392229E-2</v>
          </cell>
          <cell r="F113">
            <v>3.9819907622915686E-2</v>
          </cell>
          <cell r="G113">
            <v>4.1739859052982026E-2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</row>
        <row r="116">
          <cell r="B116">
            <v>129.03482746001339</v>
          </cell>
          <cell r="C116">
            <v>136.41127004178784</v>
          </cell>
          <cell r="D116">
            <v>126.19168501355031</v>
          </cell>
          <cell r="E116">
            <v>126.73169957983824</v>
          </cell>
          <cell r="F116">
            <v>125.86916258135051</v>
          </cell>
          <cell r="G116">
            <v>125.47272305338196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</row>
        <row r="224">
          <cell r="B224">
            <v>26.978426325568588</v>
          </cell>
          <cell r="C224">
            <v>25.930243661473828</v>
          </cell>
          <cell r="D224">
            <v>21.653732923653337</v>
          </cell>
          <cell r="E224">
            <v>22.581120469358364</v>
          </cell>
          <cell r="F224">
            <v>25.585552077016171</v>
          </cell>
          <cell r="G224">
            <v>29.065137236560187</v>
          </cell>
        </row>
        <row r="231">
          <cell r="B231">
            <v>15.552793250744768</v>
          </cell>
          <cell r="C231">
            <v>14.490409264014126</v>
          </cell>
          <cell r="D231">
            <v>3.6545505243709981</v>
          </cell>
          <cell r="E231">
            <v>2.4535107908125098</v>
          </cell>
          <cell r="F231">
            <v>1.9287393395133903</v>
          </cell>
          <cell r="G231">
            <v>1.7409918065100216</v>
          </cell>
        </row>
        <row r="233">
          <cell r="B233">
            <v>22.300325849527262</v>
          </cell>
          <cell r="C233">
            <v>25.706257536699056</v>
          </cell>
          <cell r="D233">
            <v>35.90127017430639</v>
          </cell>
          <cell r="E233">
            <v>46.394258516142656</v>
          </cell>
          <cell r="F233">
            <v>58.279138956731288</v>
          </cell>
          <cell r="G233">
            <v>68.015034352518271</v>
          </cell>
        </row>
        <row r="234">
          <cell r="B234">
            <v>52.108895199706716</v>
          </cell>
          <cell r="C234">
            <v>44.568362755593505</v>
          </cell>
          <cell r="D234">
            <v>39.434790164269003</v>
          </cell>
          <cell r="E234">
            <v>26.266504943900838</v>
          </cell>
          <cell r="F234">
            <v>14.171099563138089</v>
          </cell>
          <cell r="G234">
            <v>4.5913912002555781</v>
          </cell>
        </row>
        <row r="235">
          <cell r="B235">
            <v>42.950394869307878</v>
          </cell>
          <cell r="C235">
            <v>44.411955751024728</v>
          </cell>
          <cell r="D235">
            <v>38.54213160179718</v>
          </cell>
          <cell r="E235">
            <v>32.542680547266293</v>
          </cell>
          <cell r="F235">
            <v>20.354220932942109</v>
          </cell>
          <cell r="G235">
            <v>10.217487962655778</v>
          </cell>
        </row>
        <row r="236">
          <cell r="B236">
            <v>0</v>
          </cell>
          <cell r="C236">
            <v>0</v>
          </cell>
          <cell r="D236">
            <v>5.3844982201613227</v>
          </cell>
          <cell r="E236">
            <v>11.762956701104569</v>
          </cell>
          <cell r="F236">
            <v>19.680554082630572</v>
          </cell>
          <cell r="G236">
            <v>26.422618427534253</v>
          </cell>
        </row>
        <row r="238">
          <cell r="B238">
            <v>9.3804204217718276E-2</v>
          </cell>
          <cell r="C238">
            <v>1.2484701852325912E-2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</row>
        <row r="239">
          <cell r="B239">
            <v>7.8437172103367772</v>
          </cell>
          <cell r="C239">
            <v>9.1546285154609581</v>
          </cell>
          <cell r="D239">
            <v>6.8224630972113616</v>
          </cell>
          <cell r="E239">
            <v>7.7424263600751004</v>
          </cell>
          <cell r="F239">
            <v>8.3825072479340452</v>
          </cell>
          <cell r="G239">
            <v>8.8020232654324886</v>
          </cell>
        </row>
        <row r="240">
          <cell r="B240">
            <v>9.6515762537035101</v>
          </cell>
          <cell r="C240">
            <v>9.7918879132231318</v>
          </cell>
          <cell r="D240">
            <v>11.570196801738414</v>
          </cell>
          <cell r="E240">
            <v>11.067923611979337</v>
          </cell>
          <cell r="F240">
            <v>9.3066574920279059</v>
          </cell>
          <cell r="G240">
            <v>7.6924454880554354</v>
          </cell>
        </row>
        <row r="241">
          <cell r="B241">
            <v>2.8667118451222304</v>
          </cell>
          <cell r="C241">
            <v>3.3630731193897518</v>
          </cell>
          <cell r="D241">
            <v>0.45593423743053491</v>
          </cell>
          <cell r="E241">
            <v>0.72356381328236163</v>
          </cell>
          <cell r="F241">
            <v>1.0280880427686352</v>
          </cell>
          <cell r="G241">
            <v>1.2688841614520727</v>
          </cell>
        </row>
        <row r="242">
          <cell r="B242">
            <v>2.50683695875711</v>
          </cell>
          <cell r="C242">
            <v>2.9281050087267779</v>
          </cell>
          <cell r="D242">
            <v>0.93614405156521752</v>
          </cell>
          <cell r="E242">
            <v>1.1108297580115554</v>
          </cell>
          <cell r="F242">
            <v>1.3316248779468407</v>
          </cell>
          <cell r="G242">
            <v>1.5416936729443544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</row>
        <row r="244">
          <cell r="B244">
            <v>6.6195290092463749E-2</v>
          </cell>
          <cell r="C244">
            <v>7.8423472515206445</v>
          </cell>
          <cell r="D244">
            <v>5.1218937292839986</v>
          </cell>
          <cell r="E244">
            <v>9.2433156419320444</v>
          </cell>
          <cell r="F244">
            <v>16.9920841227338</v>
          </cell>
          <cell r="G244">
            <v>24.245289952583885</v>
          </cell>
        </row>
        <row r="245">
          <cell r="B245">
            <v>156.01325378558198</v>
          </cell>
          <cell r="C245">
            <v>162.34151370326165</v>
          </cell>
          <cell r="D245">
            <v>147.84541793720365</v>
          </cell>
          <cell r="E245">
            <v>149.3128200491966</v>
          </cell>
          <cell r="F245">
            <v>151.4547146583667</v>
          </cell>
          <cell r="G245">
            <v>154.53786028994213</v>
          </cell>
        </row>
      </sheetData>
      <sheetData sheetId="47">
        <row r="21">
          <cell r="B21">
            <v>78.704067080046073</v>
          </cell>
          <cell r="C21">
            <v>74.799340059087243</v>
          </cell>
          <cell r="D21">
            <v>71.138590090637862</v>
          </cell>
          <cell r="E21">
            <v>54.831252833666255</v>
          </cell>
          <cell r="F21">
            <v>37.307336728663117</v>
          </cell>
          <cell r="G21">
            <v>27.765358669054542</v>
          </cell>
        </row>
        <row r="22">
          <cell r="B22">
            <v>116.62825818262024</v>
          </cell>
          <cell r="C22">
            <v>111.02999117672189</v>
          </cell>
          <cell r="D22">
            <v>94.769920908173475</v>
          </cell>
          <cell r="E22">
            <v>71.039489616608449</v>
          </cell>
          <cell r="F22">
            <v>48.259446092847611</v>
          </cell>
          <cell r="G22">
            <v>47.308304170759648</v>
          </cell>
        </row>
        <row r="24">
          <cell r="B24">
            <v>0.28419281365093407</v>
          </cell>
          <cell r="C24">
            <v>0.13850612104431426</v>
          </cell>
          <cell r="D24">
            <v>0.20825589222491869</v>
          </cell>
          <cell r="E24">
            <v>5.1599439085613028E-3</v>
          </cell>
          <cell r="F24">
            <v>4.724811553733603E-3</v>
          </cell>
          <cell r="G24">
            <v>4.2652103018015509E-3</v>
          </cell>
        </row>
        <row r="25">
          <cell r="B25">
            <v>4.557833953074538</v>
          </cell>
          <cell r="C25">
            <v>4.3320346603007502</v>
          </cell>
          <cell r="D25">
            <v>4.1197200131713441</v>
          </cell>
          <cell r="E25">
            <v>3.1771789230561414</v>
          </cell>
          <cell r="F25">
            <v>2.1610504287165306</v>
          </cell>
          <cell r="G25">
            <v>1.6084224948408266</v>
          </cell>
        </row>
        <row r="26">
          <cell r="B26">
            <v>2.9720001273337382</v>
          </cell>
          <cell r="C26">
            <v>2.9709478174744071</v>
          </cell>
          <cell r="D26">
            <v>4.4521701594171175</v>
          </cell>
          <cell r="E26">
            <v>3.3143245510002628</v>
          </cell>
          <cell r="F26">
            <v>1.9908329317791864</v>
          </cell>
          <cell r="G26">
            <v>2.0248552537219959</v>
          </cell>
        </row>
        <row r="27">
          <cell r="B27">
            <v>2.2954399650330089E-2</v>
          </cell>
          <cell r="C27">
            <v>1.4911968155424459E-2</v>
          </cell>
          <cell r="D27">
            <v>2.1931285833198394E-2</v>
          </cell>
          <cell r="E27">
            <v>2.4060020426200571E-4</v>
          </cell>
          <cell r="F27">
            <v>8.7521203155449987E-5</v>
          </cell>
          <cell r="G27">
            <v>6.7275727290396956E-5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5.7714930145061807E-2</v>
          </cell>
          <cell r="F32">
            <v>0.3465241817986921</v>
          </cell>
          <cell r="G32">
            <v>1.1013352287951115</v>
          </cell>
        </row>
      </sheetData>
      <sheetData sheetId="48"/>
      <sheetData sheetId="49"/>
      <sheetData sheetId="50">
        <row r="53">
          <cell r="B53">
            <v>2.6045366315457912</v>
          </cell>
          <cell r="C53">
            <v>2.4334900263301869</v>
          </cell>
          <cell r="D53">
            <v>2.3284747845616978</v>
          </cell>
          <cell r="E53">
            <v>2.413347672879766</v>
          </cell>
          <cell r="F53">
            <v>2.5914163216584516</v>
          </cell>
          <cell r="G53">
            <v>3.3298485149592643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B55">
            <v>6.4920109235067471</v>
          </cell>
          <cell r="C55">
            <v>6.0893848645600075</v>
          </cell>
          <cell r="D55">
            <v>5.8807466319315598</v>
          </cell>
          <cell r="E55">
            <v>5.2985549296245669</v>
          </cell>
          <cell r="F55">
            <v>4.6508834665594065</v>
          </cell>
          <cell r="G55">
            <v>4.1012610843129869</v>
          </cell>
        </row>
        <row r="56">
          <cell r="B56">
            <v>3.7901086840687901</v>
          </cell>
          <cell r="C56">
            <v>3.5039110080398101</v>
          </cell>
          <cell r="D56">
            <v>3.3547968502658598</v>
          </cell>
          <cell r="E56">
            <v>2.7332910240425501</v>
          </cell>
          <cell r="F56">
            <v>1.8838469845361501</v>
          </cell>
          <cell r="G56">
            <v>1.6481252891159741</v>
          </cell>
        </row>
        <row r="57">
          <cell r="B57">
            <v>7.1756184269222194</v>
          </cell>
          <cell r="C57">
            <v>6.4694730826161706</v>
          </cell>
          <cell r="D57">
            <v>6.4209899964954218</v>
          </cell>
          <cell r="E57">
            <v>5.0487432045636975</v>
          </cell>
          <cell r="F57">
            <v>3.8697324957539605</v>
          </cell>
          <cell r="G57">
            <v>2.5562134089138207</v>
          </cell>
        </row>
        <row r="58">
          <cell r="B58">
            <v>14.550397457073529</v>
          </cell>
          <cell r="C58">
            <v>13.919222646080076</v>
          </cell>
          <cell r="D58">
            <v>12.524853883870687</v>
          </cell>
          <cell r="E58">
            <v>9.5787281396671506</v>
          </cell>
          <cell r="F58">
            <v>6.4689972264297415</v>
          </cell>
          <cell r="G58">
            <v>5.654283326860738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</row>
        <row r="77">
          <cell r="B77">
            <v>0</v>
          </cell>
          <cell r="C77">
            <v>0</v>
          </cell>
        </row>
        <row r="78">
          <cell r="B78">
            <v>0</v>
          </cell>
          <cell r="C78">
            <v>0</v>
          </cell>
        </row>
        <row r="79">
          <cell r="B79">
            <v>0</v>
          </cell>
          <cell r="C79">
            <v>0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dimension ref="B2:E98"/>
  <sheetViews>
    <sheetView showGridLines="0" topLeftCell="A58" workbookViewId="0">
      <selection activeCell="B88" sqref="B88:D98"/>
    </sheetView>
  </sheetViews>
  <sheetFormatPr defaultRowHeight="15.5" x14ac:dyDescent="0.35"/>
  <cols>
    <col min="2" max="2" width="49.58203125" bestFit="1" customWidth="1"/>
    <col min="3" max="3" width="81.5" bestFit="1" customWidth="1"/>
    <col min="4" max="4" width="11.5" bestFit="1" customWidth="1"/>
  </cols>
  <sheetData>
    <row r="2" spans="2:5" x14ac:dyDescent="0.3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35">
      <c r="B3" t="s">
        <v>15</v>
      </c>
      <c r="C3" t="s">
        <v>359</v>
      </c>
      <c r="D3" t="s">
        <v>8</v>
      </c>
    </row>
    <row r="4" spans="2:5" x14ac:dyDescent="0.35">
      <c r="B4" t="s">
        <v>19</v>
      </c>
      <c r="C4" t="s">
        <v>360</v>
      </c>
      <c r="D4" t="s">
        <v>8</v>
      </c>
    </row>
    <row r="5" spans="2:5" x14ac:dyDescent="0.35">
      <c r="B5" t="s">
        <v>24</v>
      </c>
      <c r="C5" t="s">
        <v>361</v>
      </c>
      <c r="D5" t="s">
        <v>8</v>
      </c>
    </row>
    <row r="6" spans="2:5" x14ac:dyDescent="0.35">
      <c r="B6" t="s">
        <v>29</v>
      </c>
      <c r="C6" t="s">
        <v>362</v>
      </c>
      <c r="D6" t="s">
        <v>8</v>
      </c>
    </row>
    <row r="7" spans="2:5" x14ac:dyDescent="0.35">
      <c r="B7" t="s">
        <v>152</v>
      </c>
      <c r="C7" t="s">
        <v>363</v>
      </c>
      <c r="D7" t="s">
        <v>8</v>
      </c>
    </row>
    <row r="8" spans="2:5" x14ac:dyDescent="0.35">
      <c r="B8" t="s">
        <v>91</v>
      </c>
      <c r="C8" t="s">
        <v>364</v>
      </c>
      <c r="D8" t="s">
        <v>8</v>
      </c>
    </row>
    <row r="9" spans="2:5" x14ac:dyDescent="0.35">
      <c r="B9" t="s">
        <v>190</v>
      </c>
      <c r="C9" t="s">
        <v>365</v>
      </c>
      <c r="D9" t="s">
        <v>8</v>
      </c>
    </row>
    <row r="10" spans="2:5" x14ac:dyDescent="0.35">
      <c r="B10" t="s">
        <v>241</v>
      </c>
      <c r="C10" t="s">
        <v>366</v>
      </c>
      <c r="D10" t="s">
        <v>240</v>
      </c>
      <c r="E10" t="s">
        <v>369</v>
      </c>
    </row>
    <row r="11" spans="2:5" x14ac:dyDescent="0.35">
      <c r="B11" t="s">
        <v>296</v>
      </c>
      <c r="C11" t="s">
        <v>367</v>
      </c>
      <c r="D11" t="s">
        <v>240</v>
      </c>
      <c r="E11" t="s">
        <v>686</v>
      </c>
    </row>
    <row r="12" spans="2:5" x14ac:dyDescent="0.35">
      <c r="B12" t="s">
        <v>303</v>
      </c>
      <c r="C12" t="s">
        <v>371</v>
      </c>
      <c r="D12" t="s">
        <v>8</v>
      </c>
    </row>
    <row r="13" spans="2:5" x14ac:dyDescent="0.35">
      <c r="B13" t="s">
        <v>370</v>
      </c>
      <c r="C13" t="s">
        <v>372</v>
      </c>
      <c r="D13" t="s">
        <v>8</v>
      </c>
    </row>
    <row r="14" spans="2:5" x14ac:dyDescent="0.35">
      <c r="B14" t="s">
        <v>373</v>
      </c>
      <c r="C14" t="s">
        <v>374</v>
      </c>
      <c r="D14" t="s">
        <v>8</v>
      </c>
    </row>
    <row r="15" spans="2:5" x14ac:dyDescent="0.35">
      <c r="B15" t="s">
        <v>306</v>
      </c>
      <c r="C15" t="s">
        <v>375</v>
      </c>
      <c r="D15" t="s">
        <v>240</v>
      </c>
    </row>
    <row r="16" spans="2:5" x14ac:dyDescent="0.35">
      <c r="B16" t="s">
        <v>376</v>
      </c>
      <c r="C16" t="s">
        <v>377</v>
      </c>
      <c r="D16" t="s">
        <v>8</v>
      </c>
    </row>
    <row r="17" spans="2:5" x14ac:dyDescent="0.35">
      <c r="B17" t="s">
        <v>378</v>
      </c>
      <c r="C17" t="s">
        <v>379</v>
      </c>
      <c r="D17" t="s">
        <v>8</v>
      </c>
    </row>
    <row r="18" spans="2:5" x14ac:dyDescent="0.35">
      <c r="B18" t="s">
        <v>311</v>
      </c>
      <c r="C18" t="s">
        <v>380</v>
      </c>
      <c r="D18" t="s">
        <v>240</v>
      </c>
    </row>
    <row r="19" spans="2:5" x14ac:dyDescent="0.35">
      <c r="B19" t="s">
        <v>381</v>
      </c>
      <c r="C19" t="s">
        <v>382</v>
      </c>
      <c r="D19" t="s">
        <v>8</v>
      </c>
    </row>
    <row r="20" spans="2:5" x14ac:dyDescent="0.35">
      <c r="B20" t="s">
        <v>383</v>
      </c>
      <c r="C20" t="s">
        <v>384</v>
      </c>
      <c r="D20" t="s">
        <v>8</v>
      </c>
    </row>
    <row r="21" spans="2:5" x14ac:dyDescent="0.35">
      <c r="B21" t="s">
        <v>385</v>
      </c>
      <c r="C21" t="s">
        <v>386</v>
      </c>
      <c r="D21" t="s">
        <v>8</v>
      </c>
    </row>
    <row r="22" spans="2:5" x14ac:dyDescent="0.35">
      <c r="B22" t="s">
        <v>387</v>
      </c>
      <c r="C22" t="s">
        <v>387</v>
      </c>
      <c r="D22" t="s">
        <v>8</v>
      </c>
    </row>
    <row r="23" spans="2:5" x14ac:dyDescent="0.35">
      <c r="B23" t="s">
        <v>388</v>
      </c>
      <c r="C23" t="s">
        <v>389</v>
      </c>
      <c r="D23" t="s">
        <v>240</v>
      </c>
    </row>
    <row r="24" spans="2:5" x14ac:dyDescent="0.35">
      <c r="B24" t="s">
        <v>390</v>
      </c>
      <c r="C24" t="s">
        <v>390</v>
      </c>
      <c r="D24" t="s">
        <v>8</v>
      </c>
    </row>
    <row r="25" spans="2:5" x14ac:dyDescent="0.35">
      <c r="B25" t="s">
        <v>406</v>
      </c>
      <c r="C25" t="s">
        <v>407</v>
      </c>
      <c r="D25" t="s">
        <v>8</v>
      </c>
    </row>
    <row r="26" spans="2:5" x14ac:dyDescent="0.35">
      <c r="B26" t="s">
        <v>408</v>
      </c>
      <c r="C26" t="s">
        <v>416</v>
      </c>
      <c r="D26" t="s">
        <v>240</v>
      </c>
      <c r="E26" t="s">
        <v>417</v>
      </c>
    </row>
    <row r="27" spans="2:5" x14ac:dyDescent="0.35">
      <c r="B27" t="s">
        <v>424</v>
      </c>
      <c r="C27" t="s">
        <v>418</v>
      </c>
      <c r="D27" t="s">
        <v>8</v>
      </c>
      <c r="E27" t="s">
        <v>421</v>
      </c>
    </row>
    <row r="28" spans="2:5" x14ac:dyDescent="0.35">
      <c r="B28" t="s">
        <v>425</v>
      </c>
      <c r="C28" t="s">
        <v>419</v>
      </c>
      <c r="D28" t="s">
        <v>8</v>
      </c>
      <c r="E28" t="s">
        <v>420</v>
      </c>
    </row>
    <row r="29" spans="2:5" x14ac:dyDescent="0.35">
      <c r="B29" t="s">
        <v>426</v>
      </c>
      <c r="C29" t="s">
        <v>422</v>
      </c>
      <c r="D29" t="s">
        <v>8</v>
      </c>
      <c r="E29" t="s">
        <v>423</v>
      </c>
    </row>
    <row r="30" spans="2:5" x14ac:dyDescent="0.35">
      <c r="B30" t="s">
        <v>431</v>
      </c>
      <c r="C30" t="s">
        <v>432</v>
      </c>
      <c r="D30" t="s">
        <v>8</v>
      </c>
    </row>
    <row r="31" spans="2:5" x14ac:dyDescent="0.35">
      <c r="B31" t="s">
        <v>434</v>
      </c>
      <c r="C31" t="s">
        <v>435</v>
      </c>
      <c r="D31" t="s">
        <v>8</v>
      </c>
    </row>
    <row r="32" spans="2:5" x14ac:dyDescent="0.35">
      <c r="B32" t="s">
        <v>440</v>
      </c>
      <c r="C32" t="s">
        <v>441</v>
      </c>
      <c r="D32" t="s">
        <v>240</v>
      </c>
    </row>
    <row r="33" spans="2:5" x14ac:dyDescent="0.35">
      <c r="B33" t="s">
        <v>444</v>
      </c>
      <c r="C33" t="s">
        <v>444</v>
      </c>
      <c r="D33" t="s">
        <v>442</v>
      </c>
      <c r="E33" t="s">
        <v>447</v>
      </c>
    </row>
    <row r="34" spans="2:5" x14ac:dyDescent="0.35">
      <c r="B34" t="s">
        <v>474</v>
      </c>
      <c r="C34" t="s">
        <v>477</v>
      </c>
      <c r="D34" t="s">
        <v>8</v>
      </c>
      <c r="E34" t="s">
        <v>478</v>
      </c>
    </row>
    <row r="35" spans="2:5" x14ac:dyDescent="0.35">
      <c r="B35" t="s">
        <v>475</v>
      </c>
      <c r="C35" t="s">
        <v>479</v>
      </c>
      <c r="D35" t="s">
        <v>8</v>
      </c>
      <c r="E35" t="s">
        <v>478</v>
      </c>
    </row>
    <row r="36" spans="2:5" x14ac:dyDescent="0.35">
      <c r="B36" t="s">
        <v>476</v>
      </c>
      <c r="C36" t="s">
        <v>480</v>
      </c>
      <c r="D36" t="s">
        <v>240</v>
      </c>
    </row>
    <row r="37" spans="2:5" x14ac:dyDescent="0.35">
      <c r="B37" t="s">
        <v>496</v>
      </c>
      <c r="C37" t="s">
        <v>497</v>
      </c>
      <c r="D37" t="s">
        <v>8</v>
      </c>
      <c r="E37" t="s">
        <v>498</v>
      </c>
    </row>
    <row r="38" spans="2:5" x14ac:dyDescent="0.35">
      <c r="B38" t="s">
        <v>684</v>
      </c>
      <c r="C38" t="s">
        <v>685</v>
      </c>
      <c r="D38" t="s">
        <v>8</v>
      </c>
      <c r="E38" t="s">
        <v>498</v>
      </c>
    </row>
    <row r="39" spans="2:5" x14ac:dyDescent="0.35">
      <c r="B39" t="s">
        <v>687</v>
      </c>
      <c r="C39" t="s">
        <v>688</v>
      </c>
      <c r="D39" t="s">
        <v>240</v>
      </c>
      <c r="E39" t="s">
        <v>498</v>
      </c>
    </row>
    <row r="40" spans="2:5" x14ac:dyDescent="0.35">
      <c r="B40" t="s">
        <v>674</v>
      </c>
      <c r="C40" t="s">
        <v>675</v>
      </c>
      <c r="D40" t="s">
        <v>8</v>
      </c>
    </row>
    <row r="41" spans="2:5" x14ac:dyDescent="0.35">
      <c r="B41" t="s">
        <v>697</v>
      </c>
      <c r="C41" t="s">
        <v>698</v>
      </c>
      <c r="D41" t="s">
        <v>8</v>
      </c>
    </row>
    <row r="42" spans="2:5" x14ac:dyDescent="0.35">
      <c r="B42" t="s">
        <v>689</v>
      </c>
      <c r="C42" t="s">
        <v>690</v>
      </c>
      <c r="D42" t="s">
        <v>240</v>
      </c>
    </row>
    <row r="43" spans="2:5" x14ac:dyDescent="0.35">
      <c r="B43" t="s">
        <v>740</v>
      </c>
      <c r="C43" t="s">
        <v>741</v>
      </c>
      <c r="D43" t="s">
        <v>8</v>
      </c>
    </row>
    <row r="44" spans="2:5" x14ac:dyDescent="0.35">
      <c r="B44" t="s">
        <v>756</v>
      </c>
      <c r="C44" t="s">
        <v>757</v>
      </c>
      <c r="D44" t="s">
        <v>8</v>
      </c>
    </row>
    <row r="45" spans="2:5" x14ac:dyDescent="0.35">
      <c r="B45" t="s">
        <v>1092</v>
      </c>
      <c r="C45" t="s">
        <v>1126</v>
      </c>
      <c r="D45" t="s">
        <v>240</v>
      </c>
    </row>
    <row r="46" spans="2:5" x14ac:dyDescent="0.35">
      <c r="B46" t="s">
        <v>1237</v>
      </c>
      <c r="C46" t="s">
        <v>1127</v>
      </c>
      <c r="D46" t="s">
        <v>8</v>
      </c>
      <c r="E46" t="s">
        <v>1128</v>
      </c>
    </row>
    <row r="47" spans="2:5" x14ac:dyDescent="0.35">
      <c r="B47" t="s">
        <v>1129</v>
      </c>
      <c r="C47" t="s">
        <v>1130</v>
      </c>
      <c r="D47" t="s">
        <v>1132</v>
      </c>
    </row>
    <row r="48" spans="2:5" x14ac:dyDescent="0.35">
      <c r="B48" t="s">
        <v>1131</v>
      </c>
      <c r="C48" t="s">
        <v>1231</v>
      </c>
      <c r="D48" t="s">
        <v>1230</v>
      </c>
      <c r="E48" t="s">
        <v>1232</v>
      </c>
    </row>
    <row r="49" spans="2:5" x14ac:dyDescent="0.35">
      <c r="B49" t="s">
        <v>1305</v>
      </c>
      <c r="C49" t="s">
        <v>1306</v>
      </c>
      <c r="D49" t="s">
        <v>8</v>
      </c>
    </row>
    <row r="50" spans="2:5" x14ac:dyDescent="0.35">
      <c r="B50" t="s">
        <v>1349</v>
      </c>
      <c r="C50" t="s">
        <v>1533</v>
      </c>
      <c r="D50" t="s">
        <v>1132</v>
      </c>
      <c r="E50" t="s">
        <v>1232</v>
      </c>
    </row>
    <row r="51" spans="2:5" x14ac:dyDescent="0.35">
      <c r="B51" t="s">
        <v>1371</v>
      </c>
      <c r="C51" t="s">
        <v>1472</v>
      </c>
      <c r="D51" t="s">
        <v>1230</v>
      </c>
    </row>
    <row r="52" spans="2:5" x14ac:dyDescent="0.35">
      <c r="B52" t="s">
        <v>1395</v>
      </c>
      <c r="C52" t="s">
        <v>1395</v>
      </c>
      <c r="D52" t="s">
        <v>8</v>
      </c>
    </row>
    <row r="53" spans="2:5" x14ac:dyDescent="0.35">
      <c r="B53" t="s">
        <v>1393</v>
      </c>
      <c r="C53" t="s">
        <v>1532</v>
      </c>
      <c r="D53" t="s">
        <v>1132</v>
      </c>
      <c r="E53" t="s">
        <v>1232</v>
      </c>
    </row>
    <row r="54" spans="2:5" x14ac:dyDescent="0.35">
      <c r="B54" t="s">
        <v>1394</v>
      </c>
      <c r="C54" t="s">
        <v>1471</v>
      </c>
      <c r="D54" t="s">
        <v>1230</v>
      </c>
    </row>
    <row r="55" spans="2:5" x14ac:dyDescent="0.35">
      <c r="B55" t="s">
        <v>1474</v>
      </c>
      <c r="C55" t="s">
        <v>1474</v>
      </c>
      <c r="D55" t="s">
        <v>8</v>
      </c>
    </row>
    <row r="56" spans="2:5" x14ac:dyDescent="0.35">
      <c r="B56" t="s">
        <v>1479</v>
      </c>
      <c r="C56" t="s">
        <v>1531</v>
      </c>
      <c r="D56" t="s">
        <v>1132</v>
      </c>
    </row>
    <row r="57" spans="2:5" x14ac:dyDescent="0.35">
      <c r="B57" t="s">
        <v>1481</v>
      </c>
      <c r="C57" t="s">
        <v>1487</v>
      </c>
      <c r="D57" t="s">
        <v>1230</v>
      </c>
    </row>
    <row r="58" spans="2:5" x14ac:dyDescent="0.35">
      <c r="B58" t="s">
        <v>1473</v>
      </c>
      <c r="C58" t="s">
        <v>1473</v>
      </c>
      <c r="D58" t="s">
        <v>8</v>
      </c>
    </row>
    <row r="59" spans="2:5" x14ac:dyDescent="0.35">
      <c r="B59" t="s">
        <v>1483</v>
      </c>
      <c r="C59" t="s">
        <v>1530</v>
      </c>
      <c r="D59" t="s">
        <v>1132</v>
      </c>
    </row>
    <row r="60" spans="2:5" x14ac:dyDescent="0.35">
      <c r="B60" t="s">
        <v>1485</v>
      </c>
      <c r="C60" t="s">
        <v>1535</v>
      </c>
      <c r="D60" t="s">
        <v>1230</v>
      </c>
    </row>
    <row r="61" spans="2:5" x14ac:dyDescent="0.35">
      <c r="B61" t="s">
        <v>1488</v>
      </c>
      <c r="C61" t="s">
        <v>1529</v>
      </c>
      <c r="D61" t="s">
        <v>8</v>
      </c>
    </row>
    <row r="62" spans="2:5" x14ac:dyDescent="0.35">
      <c r="B62" t="s">
        <v>1504</v>
      </c>
      <c r="C62" t="s">
        <v>1596</v>
      </c>
      <c r="D62" t="s">
        <v>1132</v>
      </c>
    </row>
    <row r="63" spans="2:5" x14ac:dyDescent="0.35">
      <c r="B63" t="s">
        <v>1519</v>
      </c>
      <c r="C63" t="s">
        <v>1534</v>
      </c>
      <c r="D63" t="s">
        <v>1230</v>
      </c>
    </row>
    <row r="64" spans="2:5" x14ac:dyDescent="0.35">
      <c r="B64" t="s">
        <v>1644</v>
      </c>
      <c r="C64" t="s">
        <v>1594</v>
      </c>
      <c r="D64" t="s">
        <v>8</v>
      </c>
    </row>
    <row r="65" spans="2:4" x14ac:dyDescent="0.35">
      <c r="B65" t="s">
        <v>1645</v>
      </c>
      <c r="C65" t="s">
        <v>1596</v>
      </c>
      <c r="D65" t="s">
        <v>1132</v>
      </c>
    </row>
    <row r="66" spans="2:4" x14ac:dyDescent="0.35">
      <c r="B66" t="s">
        <v>1646</v>
      </c>
      <c r="C66" t="s">
        <v>1595</v>
      </c>
      <c r="D66" t="s">
        <v>1230</v>
      </c>
    </row>
    <row r="67" spans="2:4" x14ac:dyDescent="0.35">
      <c r="B67" t="s">
        <v>1647</v>
      </c>
      <c r="C67" t="s">
        <v>1648</v>
      </c>
      <c r="D67" t="s">
        <v>8</v>
      </c>
    </row>
    <row r="68" spans="2:4" x14ac:dyDescent="0.35">
      <c r="B68" t="s">
        <v>1650</v>
      </c>
      <c r="C68" t="s">
        <v>1596</v>
      </c>
      <c r="D68" t="s">
        <v>1132</v>
      </c>
    </row>
    <row r="69" spans="2:4" x14ac:dyDescent="0.35">
      <c r="B69" t="s">
        <v>1651</v>
      </c>
      <c r="C69" t="s">
        <v>1649</v>
      </c>
      <c r="D69" t="s">
        <v>1230</v>
      </c>
    </row>
    <row r="70" spans="2:4" x14ac:dyDescent="0.35">
      <c r="B70" t="s">
        <v>1697</v>
      </c>
      <c r="C70" t="s">
        <v>1652</v>
      </c>
      <c r="D70" t="s">
        <v>8</v>
      </c>
    </row>
    <row r="71" spans="2:4" x14ac:dyDescent="0.35">
      <c r="B71" t="s">
        <v>1675</v>
      </c>
      <c r="C71" t="s">
        <v>1698</v>
      </c>
      <c r="D71" t="s">
        <v>1700</v>
      </c>
    </row>
    <row r="72" spans="2:4" x14ac:dyDescent="0.35">
      <c r="B72" t="s">
        <v>1686</v>
      </c>
      <c r="C72" t="s">
        <v>1699</v>
      </c>
      <c r="D72" t="s">
        <v>1701</v>
      </c>
    </row>
    <row r="73" spans="2:4" x14ac:dyDescent="0.35">
      <c r="B73" t="s">
        <v>1702</v>
      </c>
      <c r="C73" t="s">
        <v>1702</v>
      </c>
      <c r="D73" t="s">
        <v>442</v>
      </c>
    </row>
    <row r="74" spans="2:4" x14ac:dyDescent="0.35">
      <c r="B74" t="s">
        <v>1716</v>
      </c>
      <c r="C74" t="s">
        <v>1722</v>
      </c>
      <c r="D74" t="s">
        <v>442</v>
      </c>
    </row>
    <row r="75" spans="2:4" x14ac:dyDescent="0.35">
      <c r="B75" t="s">
        <v>1721</v>
      </c>
      <c r="C75" t="s">
        <v>1723</v>
      </c>
      <c r="D75" t="s">
        <v>8</v>
      </c>
    </row>
    <row r="76" spans="2:4" x14ac:dyDescent="0.35">
      <c r="B76" t="s">
        <v>1769</v>
      </c>
      <c r="C76" t="s">
        <v>1787</v>
      </c>
      <c r="D76" t="s">
        <v>8</v>
      </c>
    </row>
    <row r="77" spans="2:4" x14ac:dyDescent="0.35">
      <c r="B77" t="s">
        <v>1790</v>
      </c>
      <c r="C77" t="s">
        <v>1788</v>
      </c>
      <c r="D77" t="s">
        <v>1858</v>
      </c>
    </row>
    <row r="78" spans="2:4" x14ac:dyDescent="0.35">
      <c r="B78" t="s">
        <v>1857</v>
      </c>
      <c r="C78" t="s">
        <v>1860</v>
      </c>
      <c r="D78" t="s">
        <v>1859</v>
      </c>
    </row>
    <row r="79" spans="2:4" x14ac:dyDescent="0.35">
      <c r="B79" t="s">
        <v>1900</v>
      </c>
      <c r="C79" t="s">
        <v>1919</v>
      </c>
      <c r="D79" t="s">
        <v>1859</v>
      </c>
    </row>
    <row r="80" spans="2:4" x14ac:dyDescent="0.35">
      <c r="B80" t="s">
        <v>1901</v>
      </c>
      <c r="C80" t="s">
        <v>1920</v>
      </c>
      <c r="D80" t="s">
        <v>1859</v>
      </c>
    </row>
    <row r="81" spans="2:4" x14ac:dyDescent="0.35">
      <c r="B81" t="s">
        <v>1921</v>
      </c>
      <c r="C81" t="s">
        <v>1972</v>
      </c>
      <c r="D81" t="s">
        <v>1973</v>
      </c>
    </row>
    <row r="82" spans="2:4" x14ac:dyDescent="0.35">
      <c r="B82" t="s">
        <v>1974</v>
      </c>
      <c r="C82" t="s">
        <v>1975</v>
      </c>
      <c r="D82" t="s">
        <v>1976</v>
      </c>
    </row>
    <row r="83" spans="2:4" x14ac:dyDescent="0.35">
      <c r="B83" t="s">
        <v>1978</v>
      </c>
      <c r="C83" t="s">
        <v>1977</v>
      </c>
      <c r="D83" t="s">
        <v>1976</v>
      </c>
    </row>
    <row r="84" spans="2:4" x14ac:dyDescent="0.35">
      <c r="B84" t="s">
        <v>2122</v>
      </c>
      <c r="C84" t="s">
        <v>2132</v>
      </c>
      <c r="D84" t="s">
        <v>1976</v>
      </c>
    </row>
    <row r="85" spans="2:4" x14ac:dyDescent="0.35">
      <c r="B85" t="s">
        <v>2134</v>
      </c>
      <c r="C85" t="s">
        <v>2133</v>
      </c>
      <c r="D85" t="s">
        <v>1976</v>
      </c>
    </row>
    <row r="86" spans="2:4" x14ac:dyDescent="0.35">
      <c r="B86" t="s">
        <v>2144</v>
      </c>
      <c r="C86" t="s">
        <v>2156</v>
      </c>
      <c r="D86" t="s">
        <v>2155</v>
      </c>
    </row>
    <row r="87" spans="2:4" x14ac:dyDescent="0.35">
      <c r="B87" t="s">
        <v>2159</v>
      </c>
      <c r="C87" t="s">
        <v>2160</v>
      </c>
      <c r="D87" t="s">
        <v>2157</v>
      </c>
    </row>
    <row r="88" spans="2:4" x14ac:dyDescent="0.35">
      <c r="B88" t="s">
        <v>2180</v>
      </c>
      <c r="C88" t="s">
        <v>2181</v>
      </c>
      <c r="D88" t="s">
        <v>1858</v>
      </c>
    </row>
    <row r="89" spans="2:4" x14ac:dyDescent="0.35">
      <c r="B89" t="s">
        <v>2182</v>
      </c>
      <c r="C89" t="s">
        <v>2183</v>
      </c>
      <c r="D89" t="s">
        <v>1973</v>
      </c>
    </row>
    <row r="90" spans="2:4" x14ac:dyDescent="0.35">
      <c r="B90" t="s">
        <v>2184</v>
      </c>
      <c r="C90" t="s">
        <v>2185</v>
      </c>
      <c r="D90" t="s">
        <v>1973</v>
      </c>
    </row>
    <row r="91" spans="2:4" x14ac:dyDescent="0.35">
      <c r="B91" t="s">
        <v>2186</v>
      </c>
      <c r="C91" t="s">
        <v>2187</v>
      </c>
    </row>
    <row r="92" spans="2:4" x14ac:dyDescent="0.35">
      <c r="B92" t="s">
        <v>2188</v>
      </c>
      <c r="C92" t="s">
        <v>2189</v>
      </c>
    </row>
    <row r="93" spans="2:4" x14ac:dyDescent="0.35">
      <c r="B93" t="s">
        <v>2190</v>
      </c>
      <c r="C93" t="s">
        <v>2191</v>
      </c>
    </row>
    <row r="94" spans="2:4" x14ac:dyDescent="0.35">
      <c r="B94" t="s">
        <v>2192</v>
      </c>
      <c r="C94" t="s">
        <v>2193</v>
      </c>
      <c r="D94" t="s">
        <v>1859</v>
      </c>
    </row>
    <row r="95" spans="2:4" x14ac:dyDescent="0.35">
      <c r="B95" t="s">
        <v>2194</v>
      </c>
      <c r="C95" t="s">
        <v>2193</v>
      </c>
      <c r="D95" t="s">
        <v>1859</v>
      </c>
    </row>
    <row r="96" spans="2:4" x14ac:dyDescent="0.35">
      <c r="B96" t="s">
        <v>2195</v>
      </c>
      <c r="C96" t="s">
        <v>2193</v>
      </c>
      <c r="D96" t="s">
        <v>1859</v>
      </c>
    </row>
    <row r="97" spans="2:4" x14ac:dyDescent="0.35">
      <c r="B97" t="s">
        <v>2196</v>
      </c>
      <c r="C97" t="s">
        <v>2193</v>
      </c>
      <c r="D97" t="s">
        <v>2155</v>
      </c>
    </row>
    <row r="98" spans="2:4" x14ac:dyDescent="0.35">
      <c r="B98" t="s">
        <v>2197</v>
      </c>
      <c r="C98" t="s">
        <v>2193</v>
      </c>
      <c r="D98" t="s">
        <v>2157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dimension ref="A1:S2335"/>
  <sheetViews>
    <sheetView tabSelected="1" topLeftCell="B1" zoomScaleNormal="100" workbookViewId="0">
      <pane xSplit="4" ySplit="1" topLeftCell="F2288" activePane="bottomRight" state="frozen"/>
      <selection activeCell="B1" sqref="B1"/>
      <selection pane="topRight" activeCell="F1" sqref="F1"/>
      <selection pane="bottomLeft" activeCell="B2" sqref="B2"/>
      <selection pane="bottomRight" activeCell="E2304" sqref="E2304"/>
    </sheetView>
  </sheetViews>
  <sheetFormatPr defaultColWidth="11" defaultRowHeight="15.5" x14ac:dyDescent="0.35"/>
  <cols>
    <col min="1" max="1" width="11.5" bestFit="1" customWidth="1"/>
    <col min="2" max="2" width="10.6640625" customWidth="1"/>
    <col min="3" max="3" width="6.5" customWidth="1"/>
    <col min="4" max="4" width="83.5" customWidth="1"/>
    <col min="5" max="5" width="12.5" bestFit="1" customWidth="1"/>
    <col min="6" max="11" width="9.4140625" customWidth="1"/>
    <col min="13" max="13" width="16.4140625" bestFit="1" customWidth="1"/>
    <col min="14" max="18" width="15.4140625" bestFit="1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2040</v>
      </c>
      <c r="K1" s="2">
        <v>2050</v>
      </c>
    </row>
    <row r="2" spans="1:11" x14ac:dyDescent="0.35">
      <c r="A2" s="9" t="s">
        <v>5</v>
      </c>
      <c r="B2" s="9" t="s">
        <v>2179</v>
      </c>
      <c r="C2" s="2" t="s">
        <v>7</v>
      </c>
      <c r="D2" s="2" t="s">
        <v>15</v>
      </c>
      <c r="E2" s="2" t="s">
        <v>8</v>
      </c>
      <c r="F2" s="3">
        <f>F3+F8+F11+F12+F16+F17+F18+F19</f>
        <v>300.18638737425653</v>
      </c>
      <c r="G2" s="3">
        <f t="shared" ref="G2:K2" si="0">G3+G8+G11+G12+G16+G17+G18+G19</f>
        <v>294.04758358048866</v>
      </c>
      <c r="H2" s="3">
        <f t="shared" si="0"/>
        <v>370.47745708308264</v>
      </c>
      <c r="I2" s="3">
        <f t="shared" si="0"/>
        <v>361.01551780542218</v>
      </c>
      <c r="J2" s="3">
        <f t="shared" si="0"/>
        <v>404.52039827276542</v>
      </c>
      <c r="K2" s="3">
        <f t="shared" si="0"/>
        <v>448.78002620525035</v>
      </c>
    </row>
    <row r="3" spans="1:11" x14ac:dyDescent="0.35">
      <c r="A3" s="5" t="str">
        <f>A2</f>
        <v>STEM</v>
      </c>
      <c r="B3" s="5" t="str">
        <f>B2</f>
        <v>SPS4</v>
      </c>
      <c r="C3" s="5" t="str">
        <f t="shared" ref="C3" si="1">C2</f>
        <v>CH</v>
      </c>
      <c r="D3" t="s">
        <v>771</v>
      </c>
      <c r="E3" t="s">
        <v>8</v>
      </c>
      <c r="F3" s="1">
        <f>SUM(F4:F7)</f>
        <v>44.972470130965256</v>
      </c>
      <c r="G3" s="1">
        <f t="shared" ref="G3:K3" si="2">SUM(G4:G7)</f>
        <v>48.190497413107529</v>
      </c>
      <c r="H3" s="1">
        <f t="shared" si="2"/>
        <v>48.637978214004647</v>
      </c>
      <c r="I3" s="1">
        <f t="shared" si="2"/>
        <v>48.638700741363522</v>
      </c>
      <c r="J3" s="1">
        <f t="shared" si="2"/>
        <v>50.459885504380324</v>
      </c>
      <c r="K3" s="1">
        <f t="shared" si="2"/>
        <v>51.034782493835792</v>
      </c>
    </row>
    <row r="4" spans="1:11" x14ac:dyDescent="0.35">
      <c r="A4" s="5" t="str">
        <f t="shared" ref="A4:B53" si="3">A3</f>
        <v>STEM</v>
      </c>
      <c r="B4" s="5" t="str">
        <f t="shared" si="3"/>
        <v>SPS4</v>
      </c>
      <c r="C4" s="5" t="str">
        <f t="shared" ref="C4:C60" si="4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11.111887080703235</v>
      </c>
      <c r="G4" s="1" cm="1">
        <f t="array" ref="G4">SUMPRODUCT(("RNWWOD1"=[1]OUT_PrimaryEnergyCons!$A$1:$A$1000)*1,[1]OUT_PrimaryEnergyCons!E$1:E$1000)</f>
        <v>11.952894224577125</v>
      </c>
      <c r="H4" s="1" cm="1">
        <f t="array" ref="H4">SUMPRODUCT(("RNWWOD1"=[1]OUT_PrimaryEnergyCons!$A$1:$A$1000)*1,[1]OUT_PrimaryEnergyCons!F$1:F$1000)</f>
        <v>13.214396366540509</v>
      </c>
      <c r="I4" s="1" cm="1">
        <f t="array" ref="I4">SUMPRODUCT(("RNWWOD1"=[1]OUT_PrimaryEnergyCons!$A$1:$A$1000)*1,[1]OUT_PrimaryEnergyCons!G$1:G$1000)</f>
        <v>15.316913940145136</v>
      </c>
      <c r="J4" s="1" cm="1">
        <f t="array" ref="J4">SUMPRODUCT(("RNWWOD1"=[1]OUT_PrimaryEnergyCons!$A$1:$A$1000)*1,[1]OUT_PrimaryEnergyCons!H$1:H$1000)</f>
        <v>16.266399867659125</v>
      </c>
      <c r="K4" s="1" cm="1">
        <f t="array" ref="K4">SUMPRODUCT(("RNWWOD1"=[1]OUT_PrimaryEnergyCons!$A$1:$A$1000)*1,[1]OUT_PrimaryEnergyCons!I$1:I$1000)</f>
        <v>16.956997649456635</v>
      </c>
    </row>
    <row r="5" spans="1:11" x14ac:dyDescent="0.35">
      <c r="A5" s="5" t="str">
        <f t="shared" si="3"/>
        <v>STEM</v>
      </c>
      <c r="B5" s="5" t="str">
        <f t="shared" si="3"/>
        <v>SPS4</v>
      </c>
      <c r="C5" s="5" t="str">
        <f t="shared" si="4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7.5116807187130856</v>
      </c>
      <c r="G5" s="1" cm="1">
        <f t="array" ref="G5">SUMPRODUCT(("RNWWOD2"=[1]OUT_PrimaryEnergyCons!$A$1:$A$1000)*1,[1]OUT_PrimaryEnergyCons!E$1:E$1000)</f>
        <v>7.543152714349854</v>
      </c>
      <c r="H5" s="1" cm="1">
        <f t="array" ref="H5">SUMPRODUCT(("RNWWOD2"=[1]OUT_PrimaryEnergyCons!$A$1:$A$1000)*1,[1]OUT_PrimaryEnergyCons!F$1:F$1000)</f>
        <v>7.5903521129438722</v>
      </c>
      <c r="I5" s="1" cm="1">
        <f t="array" ref="I5">SUMPRODUCT(("RNWWOD2"=[1]OUT_PrimaryEnergyCons!$A$1:$A$1000)*1,[1]OUT_PrimaryEnergyCons!G$1:G$1000)</f>
        <v>7.6690318372811142</v>
      </c>
      <c r="J5" s="1" cm="1">
        <f t="array" ref="J5">SUMPRODUCT(("RNWWOD2"=[1]OUT_PrimaryEnergyCons!$A$1:$A$1000)*1,[1]OUT_PrimaryEnergyCons!H$1:H$1000)</f>
        <v>7.6690314542317317</v>
      </c>
      <c r="K5" s="1" cm="1">
        <f t="array" ref="K5">SUMPRODUCT(("RNWWOD2"=[1]OUT_PrimaryEnergyCons!$A$1:$A$1000)*1,[1]OUT_PrimaryEnergyCons!I$1:I$1000)</f>
        <v>7.6690318741562127</v>
      </c>
    </row>
    <row r="6" spans="1:11" x14ac:dyDescent="0.35">
      <c r="A6" s="5" t="str">
        <f t="shared" si="3"/>
        <v>STEM</v>
      </c>
      <c r="B6" s="5" t="str">
        <f t="shared" si="3"/>
        <v>SPS4</v>
      </c>
      <c r="C6" s="5" t="str">
        <f t="shared" si="4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3.1682550304546395</v>
      </c>
      <c r="G6" s="1" cm="1">
        <f t="array" ref="G6">SUMPRODUCT(("RNWWOD3"=[1]OUT_PrimaryEnergyCons!$A$1:$A$1000)*1,[1]OUT_PrimaryEnergyCons!E$1:E$1000)</f>
        <v>3.4956774164018611</v>
      </c>
      <c r="H6" s="1" cm="1">
        <f t="array" ref="H6">SUMPRODUCT(("RNWWOD3"=[1]OUT_PrimaryEnergyCons!$A$1:$A$1000)*1,[1]OUT_PrimaryEnergyCons!F$1:F$1000)</f>
        <v>3.9868188851996194</v>
      </c>
      <c r="I6" s="1" cm="1">
        <f t="array" ref="I6">SUMPRODUCT(("RNWWOD3"=[1]OUT_PrimaryEnergyCons!$A$1:$A$1000)*1,[1]OUT_PrimaryEnergyCons!G$1:G$1000)</f>
        <v>4.8053882266505985</v>
      </c>
      <c r="J6" s="1" cm="1">
        <f t="array" ref="J6">SUMPRODUCT(("RNWWOD3"=[1]OUT_PrimaryEnergyCons!$A$1:$A$1000)*1,[1]OUT_PrimaryEnergyCons!H$1:H$1000)</f>
        <v>4.805387737568557</v>
      </c>
      <c r="K6" s="1" cm="1">
        <f t="array" ref="K6">SUMPRODUCT(("RNWWOD3"=[1]OUT_PrimaryEnergyCons!$A$1:$A$1000)*1,[1]OUT_PrimaryEnergyCons!I$1:I$1000)</f>
        <v>4.8053882808963877</v>
      </c>
    </row>
    <row r="7" spans="1:11" x14ac:dyDescent="0.35">
      <c r="A7" s="5" t="str">
        <f t="shared" si="3"/>
        <v>STEM</v>
      </c>
      <c r="B7" s="5" t="str">
        <f t="shared" si="3"/>
        <v>SPS4</v>
      </c>
      <c r="C7" s="5" t="str">
        <f t="shared" si="4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23.180647301094297</v>
      </c>
      <c r="G7" s="1" cm="1">
        <f t="array" ref="G7">SUMPRODUCT(("RNWWOD4"=[1]OUT_PrimaryEnergyCons!$A$1:$A$1000)*1+("RNWWOD5"=[1]OUT_PrimaryEnergyCons!$A$1:$A$1000)*1,[1]OUT_PrimaryEnergyCons!E$1:E$1000)</f>
        <v>25.198773057778688</v>
      </c>
      <c r="H7" s="1" cm="1">
        <f t="array" ref="H7">SUMPRODUCT(("RNWWOD4"=[1]OUT_PrimaryEnergyCons!$A$1:$A$1000)*1+("RNWWOD5"=[1]OUT_PrimaryEnergyCons!$A$1:$A$1000)*1,[1]OUT_PrimaryEnergyCons!F$1:F$1000)</f>
        <v>23.846410849320645</v>
      </c>
      <c r="I7" s="1" cm="1">
        <f t="array" ref="I7">SUMPRODUCT(("RNWWOD4"=[1]OUT_PrimaryEnergyCons!$A$1:$A$1000)*1+("RNWWOD5"=[1]OUT_PrimaryEnergyCons!$A$1:$A$1000)*1,[1]OUT_PrimaryEnergyCons!G$1:G$1000)</f>
        <v>20.847366737286674</v>
      </c>
      <c r="J7" s="1" cm="1">
        <f t="array" ref="J7">SUMPRODUCT(("RNWWOD4"=[1]OUT_PrimaryEnergyCons!$A$1:$A$1000)*1+("RNWWOD5"=[1]OUT_PrimaryEnergyCons!$A$1:$A$1000)*1,[1]OUT_PrimaryEnergyCons!H$1:H$1000)</f>
        <v>21.719066444920909</v>
      </c>
      <c r="K7" s="1" cm="1">
        <f t="array" ref="K7">SUMPRODUCT(("RNWWOD4"=[1]OUT_PrimaryEnergyCons!$A$1:$A$1000)*1+("RNWWOD5"=[1]OUT_PrimaryEnergyCons!$A$1:$A$1000)*1,[1]OUT_PrimaryEnergyCons!I$1:I$1000)</f>
        <v>21.603364689326558</v>
      </c>
    </row>
    <row r="8" spans="1:11" x14ac:dyDescent="0.35">
      <c r="A8" s="5" t="str">
        <f t="shared" si="3"/>
        <v>STEM</v>
      </c>
      <c r="B8" s="5" t="str">
        <f t="shared" si="3"/>
        <v>SPS4</v>
      </c>
      <c r="C8" s="5" t="str">
        <f t="shared" si="4"/>
        <v>CH</v>
      </c>
      <c r="D8" t="s">
        <v>772</v>
      </c>
      <c r="E8" t="s">
        <v>8</v>
      </c>
      <c r="F8" s="1">
        <f>SUM(F9:F10)</f>
        <v>70.031583615684553</v>
      </c>
      <c r="G8" s="1">
        <f t="shared" ref="G8:K8" si="5">SUM(G9:G10)</f>
        <v>70.696312016637137</v>
      </c>
      <c r="H8" s="1">
        <f t="shared" si="5"/>
        <v>70.303401354583812</v>
      </c>
      <c r="I8" s="1">
        <f t="shared" si="5"/>
        <v>69.853893846315998</v>
      </c>
      <c r="J8" s="1">
        <f t="shared" si="5"/>
        <v>69.982193018671438</v>
      </c>
      <c r="K8" s="1">
        <f t="shared" si="5"/>
        <v>75.481916091285626</v>
      </c>
    </row>
    <row r="9" spans="1:11" x14ac:dyDescent="0.35">
      <c r="A9" s="5" t="str">
        <f t="shared" si="3"/>
        <v>STEM</v>
      </c>
      <c r="B9" s="5" t="str">
        <f t="shared" si="3"/>
        <v>SPS4</v>
      </c>
      <c r="C9" s="5" t="str">
        <f t="shared" si="4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35.931127006523852</v>
      </c>
      <c r="G9" s="1" cm="1">
        <f t="array" ref="G9">SUMPRODUCT(("RNNWWST1"=[1]OUT_PrimaryEnergyCons!$A$1:$A$1000)*1,[1]OUT_PrimaryEnergyCons!E$1:E$1000)</f>
        <v>35.882387755203617</v>
      </c>
      <c r="H9" s="1" cm="1">
        <f t="array" ref="H9">SUMPRODUCT(("RNNWWST1"=[1]OUT_PrimaryEnergyCons!$A$1:$A$1000)*1,[1]OUT_PrimaryEnergyCons!F$1:F$1000)</f>
        <v>35.489464933168392</v>
      </c>
      <c r="I9" s="1" cm="1">
        <f t="array" ref="I9">SUMPRODUCT(("RNNWWST1"=[1]OUT_PrimaryEnergyCons!$A$1:$A$1000)*1,[1]OUT_PrimaryEnergyCons!G$1:G$1000)</f>
        <v>35.039966051974346</v>
      </c>
      <c r="J9" s="1" cm="1">
        <f t="array" ref="J9">SUMPRODUCT(("RNNWWST1"=[1]OUT_PrimaryEnergyCons!$A$1:$A$1000)*1,[1]OUT_PrimaryEnergyCons!H$1:H$1000)</f>
        <v>35.159452435477945</v>
      </c>
      <c r="K9" s="1" cm="1">
        <f t="array" ref="K9">SUMPRODUCT(("RNNWWST1"=[1]OUT_PrimaryEnergyCons!$A$1:$A$1000)*1,[1]OUT_PrimaryEnergyCons!I$1:I$1000)</f>
        <v>35.603175973843797</v>
      </c>
    </row>
    <row r="10" spans="1:11" x14ac:dyDescent="0.35">
      <c r="A10" s="5" t="str">
        <f t="shared" si="3"/>
        <v>STEM</v>
      </c>
      <c r="B10" s="5" t="str">
        <f t="shared" si="3"/>
        <v>SPS4</v>
      </c>
      <c r="C10" s="5" t="str">
        <f t="shared" si="4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34.100456609160702</v>
      </c>
      <c r="G10" s="1" cm="1">
        <f t="array" ref="G10">SUMPRODUCT(("RNWWST1"=[1]OUT_PrimaryEnergyCons!$A$1:$A$1000)*1,[1]OUT_PrimaryEnergyCons!E$1:E$1000)</f>
        <v>34.813924261433527</v>
      </c>
      <c r="H10" s="1" cm="1">
        <f t="array" ref="H10">SUMPRODUCT(("RNWWST1"=[1]OUT_PrimaryEnergyCons!$A$1:$A$1000)*1,[1]OUT_PrimaryEnergyCons!F$1:F$1000)</f>
        <v>34.81393642141542</v>
      </c>
      <c r="I10" s="1" cm="1">
        <f t="array" ref="I10">SUMPRODUCT(("RNWWST1"=[1]OUT_PrimaryEnergyCons!$A$1:$A$1000)*1,[1]OUT_PrimaryEnergyCons!G$1:G$1000)</f>
        <v>34.813927794341652</v>
      </c>
      <c r="J10" s="1" cm="1">
        <f t="array" ref="J10">SUMPRODUCT(("RNWWST1"=[1]OUT_PrimaryEnergyCons!$A$1:$A$1000)*1,[1]OUT_PrimaryEnergyCons!H$1:H$1000)</f>
        <v>34.822740583193486</v>
      </c>
      <c r="K10" s="1" cm="1">
        <f t="array" ref="K10">SUMPRODUCT(("RNWWST1"=[1]OUT_PrimaryEnergyCons!$A$1:$A$1000)*1,[1]OUT_PrimaryEnergyCons!I$1:I$1000)</f>
        <v>39.878740117441836</v>
      </c>
    </row>
    <row r="11" spans="1:11" x14ac:dyDescent="0.35">
      <c r="A11" s="5" t="str">
        <f t="shared" si="3"/>
        <v>STEM</v>
      </c>
      <c r="B11" s="5" t="str">
        <f t="shared" si="3"/>
        <v>SPS4</v>
      </c>
      <c r="C11" s="5" t="str">
        <f t="shared" si="4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3.7981060759479917</v>
      </c>
      <c r="G11" s="1" cm="1">
        <f t="array" ref="G11">SUMPRODUCT(("mnr"=[1]OUT_PrimaryEnergyCons!$C$1:$C$1000)*1,[1]OUT_PrimaryEnergyCons!E$1:E$1000)</f>
        <v>10.707989460631929</v>
      </c>
      <c r="H11" s="1" cm="1">
        <f t="array" ref="H11">SUMPRODUCT(("mnr"=[1]OUT_PrimaryEnergyCons!$C$1:$C$1000)*1,[1]OUT_PrimaryEnergyCons!F$1:F$1000)</f>
        <v>12.540098936358259</v>
      </c>
      <c r="I11" s="1" cm="1">
        <f t="array" ref="I11">SUMPRODUCT(("mnr"=[1]OUT_PrimaryEnergyCons!$C$1:$C$1000)*1,[1]OUT_PrimaryEnergyCons!G$1:G$1000)</f>
        <v>12.540426702939271</v>
      </c>
      <c r="J11" s="1" cm="1">
        <f t="array" ref="J11">SUMPRODUCT(("mnr"=[1]OUT_PrimaryEnergyCons!$C$1:$C$1000)*1,[1]OUT_PrimaryEnergyCons!H$1:H$1000)</f>
        <v>14.623726710352047</v>
      </c>
      <c r="K11" s="1" cm="1">
        <f t="array" ref="K11">SUMPRODUCT(("mnr"=[1]OUT_PrimaryEnergyCons!$C$1:$C$1000)*1,[1]OUT_PrimaryEnergyCons!I$1:I$1000)</f>
        <v>18.811312156095504</v>
      </c>
    </row>
    <row r="12" spans="1:11" x14ac:dyDescent="0.35">
      <c r="A12" s="5" t="str">
        <f t="shared" si="3"/>
        <v>STEM</v>
      </c>
      <c r="B12" s="5" t="str">
        <f t="shared" si="3"/>
        <v>SPS4</v>
      </c>
      <c r="C12" s="5" t="str">
        <f t="shared" si="4"/>
        <v>CH</v>
      </c>
      <c r="D12" t="s">
        <v>774</v>
      </c>
      <c r="E12" t="s">
        <v>8</v>
      </c>
      <c r="F12" s="1">
        <f>SUM(F13:F15)</f>
        <v>149.43048676779389</v>
      </c>
      <c r="G12" s="1">
        <f t="shared" ref="G12:K12" si="6">SUM(G13:G15)</f>
        <v>125.60594559963398</v>
      </c>
      <c r="H12" s="1">
        <f t="shared" si="6"/>
        <v>177.65239935932033</v>
      </c>
      <c r="I12" s="1">
        <f t="shared" si="6"/>
        <v>150.46034272154878</v>
      </c>
      <c r="J12" s="1">
        <f t="shared" si="6"/>
        <v>150.73420772528254</v>
      </c>
      <c r="K12" s="1">
        <f t="shared" si="6"/>
        <v>150.96379181695721</v>
      </c>
    </row>
    <row r="13" spans="1:11" x14ac:dyDescent="0.35">
      <c r="A13" s="5" t="str">
        <f t="shared" si="3"/>
        <v>STEM</v>
      </c>
      <c r="B13" s="5" t="str">
        <f t="shared" si="3"/>
        <v>SPS4</v>
      </c>
      <c r="C13" s="5" t="str">
        <f t="shared" si="4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66.745680000010836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49.798802112454716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68.534387711104714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70.34291557821463</v>
      </c>
      <c r="J13" s="1" cm="1">
        <f t="array" ref="J13">SUMPRODUCT(ISNUMBER(SEARCH("EHYD-DAM",[1]OUT_Electricity_CHP!$B$1:$B$10000))*1,([1]OUT_Electricity_CHP!$C$1:$C$10000="Var_Fout")*1,ISNUMBER(SEARCH("ELC",[1]OUT_Electricity_CHP!$D$1:$D$10000))*1,[1]OUT_Electricity_CHP!I$1:I$10000)</f>
        <v>72.511307323161802</v>
      </c>
      <c r="K13" s="1" cm="1">
        <f t="array" ref="K13">SUMPRODUCT(ISNUMBER(SEARCH("EHYD-DAM",[1]OUT_Electricity_CHP!$B$1:$B$10000))*1,([1]OUT_Electricity_CHP!$C$1:$C$10000="Var_Fout")*1,ISNUMBER(SEARCH("ELC",[1]OUT_Electricity_CHP!$D$1:$D$10000))*1,[1]OUT_Electricity_CHP!J$1:J$10000)</f>
        <v>74.680995636390534</v>
      </c>
    </row>
    <row r="14" spans="1:11" x14ac:dyDescent="0.35">
      <c r="A14" s="5" t="str">
        <f t="shared" si="3"/>
        <v>STEM</v>
      </c>
      <c r="B14" s="5" t="str">
        <f t="shared" si="3"/>
        <v>SPS4</v>
      </c>
      <c r="C14" s="5" t="str">
        <f t="shared" si="4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66.63240058493669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55.764004617408034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65.55096200066761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64.468038140082029</v>
      </c>
      <c r="J14" s="1" cm="1">
        <f t="array" ref="J14">SUMPRODUCT(ISNUMBER(SEARCH("EHYD-RUN",[1]OUT_Electricity_CHP!$B$1:$B$10000))*1,([1]OUT_Electricity_CHP!$C$1:$C$10000="Var_Fout")*1,ISNUMBER(SEARCH("ELC",[1]OUT_Electricity_CHP!$D$1:$D$10000))*1,[1]OUT_Electricity_CHP!I$1:I$10000)</f>
        <v>62.299668571129772</v>
      </c>
      <c r="K14" s="1" cm="1">
        <f t="array" ref="K14">SUMPRODUCT(ISNUMBER(SEARCH("EHYD-RUN",[1]OUT_Electricity_CHP!$B$1:$B$10000))*1,([1]OUT_Electricity_CHP!$C$1:$C$10000="Var_Fout")*1,ISNUMBER(SEARCH("ELC",[1]OUT_Electricity_CHP!$D$1:$D$10000))*1,[1]OUT_Electricity_CHP!J$1:J$10000)</f>
        <v>60.129976775260509</v>
      </c>
    </row>
    <row r="15" spans="1:11" x14ac:dyDescent="0.35">
      <c r="A15" s="5" t="str">
        <f t="shared" si="3"/>
        <v>STEM</v>
      </c>
      <c r="B15" s="5" t="str">
        <f t="shared" si="3"/>
        <v>SPS4</v>
      </c>
      <c r="C15" s="5" t="str">
        <f t="shared" si="4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16.052406182846379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20.04313886977123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43.567049647548004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15.64938900325212</v>
      </c>
      <c r="J15" s="1" cm="1">
        <f t="array" ref="J15">SUMPRODUCT(ISNUMBER(SEARCH("EHYD-PUM",[1]OUT_Electricity_CHP!$B$1:$B$10000))*1,([1]OUT_Electricity_CHP!$C$1:$C$10000="Var_Fin")*1,ISNUMBER(SEARCH("elc",[1]OUT_Electricity_CHP!$D$1:$D$10000))*1,[1]OUT_Electricity_CHP!I$1:I$10000)</f>
        <v>15.923231830990986</v>
      </c>
      <c r="K15" s="1" cm="1">
        <f t="array" ref="K15">SUMPRODUCT(ISNUMBER(SEARCH("EHYD-PUM",[1]OUT_Electricity_CHP!$B$1:$B$10000))*1,([1]OUT_Electricity_CHP!$C$1:$C$10000="Var_Fin")*1,ISNUMBER(SEARCH("elc",[1]OUT_Electricity_CHP!$D$1:$D$10000))*1,[1]OUT_Electricity_CHP!J$1:J$10000)</f>
        <v>16.152819405306158</v>
      </c>
    </row>
    <row r="16" spans="1:11" x14ac:dyDescent="0.35">
      <c r="A16" s="5" t="str">
        <f t="shared" si="3"/>
        <v>STEM</v>
      </c>
      <c r="B16" s="5" t="str">
        <f t="shared" si="3"/>
        <v>SPS4</v>
      </c>
      <c r="C16" s="5" t="str">
        <f t="shared" si="4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12.556532982312607</v>
      </c>
      <c r="G16" s="1" cm="1">
        <f t="array" ref="G16">SUMPRODUCT(ISNUMBER(SEARCH("SOL",[1]OUT_PrimaryEnergyCons!$C$1:$C$1000))*1,[1]OUT_PrimaryEnergyCons!E$1:E$1000)</f>
        <v>16.523564180541666</v>
      </c>
      <c r="H16" s="1" cm="1">
        <f t="array" ref="H16">SUMPRODUCT(ISNUMBER(SEARCH("SOL",[1]OUT_PrimaryEnergyCons!$C$1:$C$1000))*1,[1]OUT_PrimaryEnergyCons!F$1:F$1000)</f>
        <v>30.349277694143915</v>
      </c>
      <c r="I16" s="1" cm="1">
        <f t="array" ref="I16">SUMPRODUCT(ISNUMBER(SEARCH("SOL",[1]OUT_PrimaryEnergyCons!$C$1:$C$1000))*1,[1]OUT_PrimaryEnergyCons!G$1:G$1000)</f>
        <v>32.983451345643964</v>
      </c>
      <c r="J16" s="1" cm="1">
        <f t="array" ref="J16">SUMPRODUCT(ISNUMBER(SEARCH("SOL",[1]OUT_PrimaryEnergyCons!$C$1:$C$1000))*1,[1]OUT_PrimaryEnergyCons!H$1:H$1000)</f>
        <v>53.078282870995444</v>
      </c>
      <c r="K16" s="1" cm="1">
        <f t="array" ref="K16">SUMPRODUCT(ISNUMBER(SEARCH("SOL",[1]OUT_PrimaryEnergyCons!$C$1:$C$1000))*1,[1]OUT_PrimaryEnergyCons!I$1:I$1000)</f>
        <v>67.519132433872016</v>
      </c>
    </row>
    <row r="17" spans="1:18" x14ac:dyDescent="0.35">
      <c r="A17" s="5" t="str">
        <f t="shared" si="3"/>
        <v>STEM</v>
      </c>
      <c r="B17" s="5" t="str">
        <f t="shared" si="3"/>
        <v>SPS4</v>
      </c>
      <c r="C17" s="5" t="str">
        <f t="shared" si="4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0.52402910335753083</v>
      </c>
      <c r="G17" s="1" cm="1">
        <f t="array" ref="G17">SUMPRODUCT(ISNUMBER(SEARCH("wnd",[1]OUT_PrimaryEnergyCons!$C$1:$C$1000))*1,[1]OUT_PrimaryEnergyCons!E$1:E$1000)</f>
        <v>0.54529606787767981</v>
      </c>
      <c r="H17" s="1" cm="1">
        <f t="array" ref="H17">SUMPRODUCT(ISNUMBER(SEARCH("wnd",[1]OUT_PrimaryEnergyCons!$C$1:$C$1000))*1,[1]OUT_PrimaryEnergyCons!F$1:F$1000)</f>
        <v>0.50316867355987227</v>
      </c>
      <c r="I17" s="1" cm="1">
        <f t="array" ref="I17">SUMPRODUCT(ISNUMBER(SEARCH("wnd",[1]OUT_PrimaryEnergyCons!$C$1:$C$1000))*1,[1]OUT_PrimaryEnergyCons!G$1:G$1000)</f>
        <v>0.88472648533039999</v>
      </c>
      <c r="J17" s="1" cm="1">
        <f t="array" ref="J17">SUMPRODUCT(ISNUMBER(SEARCH("wnd",[1]OUT_PrimaryEnergyCons!$C$1:$C$1000))*1,[1]OUT_PrimaryEnergyCons!H$1:H$1000)</f>
        <v>0.79253688662677513</v>
      </c>
      <c r="K17" s="1" cm="1">
        <f t="array" ref="K17">SUMPRODUCT(ISNUMBER(SEARCH("wnd",[1]OUT_PrimaryEnergyCons!$C$1:$C$1000))*1,[1]OUT_PrimaryEnergyCons!I$1:I$1000)</f>
        <v>3.1871550167035161</v>
      </c>
    </row>
    <row r="18" spans="1:18" x14ac:dyDescent="0.35">
      <c r="A18" s="5" t="str">
        <f t="shared" si="3"/>
        <v>STEM</v>
      </c>
      <c r="B18" s="5" t="str">
        <f t="shared" si="3"/>
        <v>SPS4</v>
      </c>
      <c r="C18" s="5" t="str">
        <f t="shared" si="4"/>
        <v>CH</v>
      </c>
      <c r="D18" t="s">
        <v>777</v>
      </c>
      <c r="E18" t="s">
        <v>8</v>
      </c>
      <c r="F18" s="1">
        <f>[1]Overview!B$9-F19</f>
        <v>18.873178698194675</v>
      </c>
      <c r="G18" s="1">
        <f>[1]Overview!C$9-G19</f>
        <v>21.777978842058733</v>
      </c>
      <c r="H18" s="1">
        <f>[1]Overview!D$9-H19</f>
        <v>30.491132851111839</v>
      </c>
      <c r="I18" s="1">
        <f>[1]Overview!E$9-I19</f>
        <v>45.653975962280214</v>
      </c>
      <c r="J18" s="1">
        <f>[1]Overview!F$9-J19</f>
        <v>64.824973068443185</v>
      </c>
      <c r="K18" s="1">
        <f>[1]Overview!G$9-K19</f>
        <v>81.625330813367555</v>
      </c>
    </row>
    <row r="19" spans="1:18" x14ac:dyDescent="0.35">
      <c r="A19" s="5" t="str">
        <f t="shared" si="3"/>
        <v>STEM</v>
      </c>
      <c r="B19" s="5" t="str">
        <f t="shared" si="3"/>
        <v>SPS4</v>
      </c>
      <c r="C19" s="5" t="str">
        <f t="shared" si="4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+[1]Overview!F$28</f>
        <v>2.4592488013702694E-2</v>
      </c>
      <c r="K19" s="1">
        <f>+[1]Overview!G$28</f>
        <v>0.15660538313312766</v>
      </c>
    </row>
    <row r="20" spans="1:18" x14ac:dyDescent="0.35">
      <c r="A20" s="9" t="str">
        <f t="shared" si="3"/>
        <v>STEM</v>
      </c>
      <c r="B20" s="9" t="str">
        <f t="shared" si="3"/>
        <v>SPS4</v>
      </c>
      <c r="C20" s="2" t="str">
        <f t="shared" si="4"/>
        <v>CH</v>
      </c>
      <c r="D20" s="2" t="s">
        <v>19</v>
      </c>
      <c r="E20" s="2" t="s">
        <v>8</v>
      </c>
      <c r="F20" s="3">
        <f t="shared" ref="F20:K20" si="7">SUM(F21:F22,F39,F48:F49,F54)</f>
        <v>779.50557803444951</v>
      </c>
      <c r="G20" s="3">
        <f t="shared" si="7"/>
        <v>702.13550662272496</v>
      </c>
      <c r="H20" s="3">
        <f t="shared" si="7"/>
        <v>629.06585750277338</v>
      </c>
      <c r="I20" s="3">
        <f t="shared" si="7"/>
        <v>569.1091629638903</v>
      </c>
      <c r="J20" s="3">
        <f t="shared" si="7"/>
        <v>370.77429291816225</v>
      </c>
      <c r="K20" s="3">
        <f t="shared" si="7"/>
        <v>236.54661148810968</v>
      </c>
      <c r="M20" s="1"/>
      <c r="N20" s="1"/>
      <c r="O20" s="1"/>
      <c r="P20" s="1"/>
      <c r="Q20" s="1"/>
      <c r="R20" s="1"/>
    </row>
    <row r="21" spans="1:18" x14ac:dyDescent="0.35">
      <c r="A21" s="5" t="str">
        <f t="shared" si="3"/>
        <v>STEM</v>
      </c>
      <c r="B21" s="5" t="str">
        <f t="shared" si="3"/>
        <v>SPS4</v>
      </c>
      <c r="C21" s="5" t="str">
        <f t="shared" si="4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3.6600241734758403</v>
      </c>
      <c r="G21" s="1" cm="1">
        <f t="array" ref="G21">SUMPRODUCT(("COA"=[1]OUT_PrimaryEnergyCons!$C$4:$C$10000)*1,[1]OUT_PrimaryEnergyCons!E$4:E$10000)</f>
        <v>3.5647234892238471</v>
      </c>
      <c r="H21" s="1" cm="1">
        <f t="array" ref="H21">SUMPRODUCT(("COA"=[1]OUT_PrimaryEnergyCons!$C$4:$C$10000)*1,[1]OUT_PrimaryEnergyCons!F$4:F$10000)</f>
        <v>3.2533415669808079</v>
      </c>
      <c r="I21" s="1" cm="1">
        <f t="array" ref="I21">SUMPRODUCT(("COA"=[1]OUT_PrimaryEnergyCons!$C$4:$C$10000)*1,[1]OUT_PrimaryEnergyCons!G$4:G$10000)</f>
        <v>6.70593123568595E-3</v>
      </c>
      <c r="J21" s="1" cm="1">
        <f t="array" ref="J21">SUMPRODUCT(("COA"=[1]OUT_PrimaryEnergyCons!$C$4:$C$10000)*1,[1]OUT_PrimaryEnergyCons!H$4:H$10000)</f>
        <v>6.3286740870591672E-4</v>
      </c>
      <c r="K21" s="1" cm="1">
        <f t="array" ref="K21">SUMPRODUCT(("COA"=[1]OUT_PrimaryEnergyCons!$C$4:$C$10000)*1,[1]OUT_PrimaryEnergyCons!I$4:I$10000)</f>
        <v>3.4793620773534078E-4</v>
      </c>
    </row>
    <row r="22" spans="1:18" x14ac:dyDescent="0.35">
      <c r="A22" s="5" t="str">
        <f t="shared" si="3"/>
        <v>STEM</v>
      </c>
      <c r="B22" s="5" t="str">
        <f t="shared" si="3"/>
        <v>SPS4</v>
      </c>
      <c r="C22" s="5" t="str">
        <f t="shared" si="4"/>
        <v>CH</v>
      </c>
      <c r="D22" t="s">
        <v>780</v>
      </c>
      <c r="E22" t="s">
        <v>8</v>
      </c>
      <c r="F22" s="1">
        <f>F23+F29</f>
        <v>310.65474401768176</v>
      </c>
      <c r="G22" s="1">
        <f t="shared" ref="G22:K22" si="8">G23+G29</f>
        <v>287.75900098068024</v>
      </c>
      <c r="H22" s="1">
        <f t="shared" si="8"/>
        <v>263.34573368512326</v>
      </c>
      <c r="I22" s="1">
        <f t="shared" si="8"/>
        <v>201.77972846296339</v>
      </c>
      <c r="J22" s="1">
        <f t="shared" si="8"/>
        <v>131.57516531760621</v>
      </c>
      <c r="K22" s="1">
        <f t="shared" si="8"/>
        <v>99.259027665957845</v>
      </c>
    </row>
    <row r="23" spans="1:18" x14ac:dyDescent="0.35">
      <c r="A23" s="5" t="str">
        <f t="shared" ref="A23:B23" si="9">A22</f>
        <v>STEM</v>
      </c>
      <c r="B23" s="5" t="str">
        <f t="shared" si="9"/>
        <v>SPS4</v>
      </c>
      <c r="C23" s="5" t="str">
        <f t="shared" ref="C23" si="10">C22</f>
        <v>CH</v>
      </c>
      <c r="D23" t="s">
        <v>781</v>
      </c>
      <c r="E23" t="s">
        <v>8</v>
      </c>
      <c r="F23" s="1">
        <f>SUM(F24:F28)</f>
        <v>303.87157834790901</v>
      </c>
      <c r="G23" s="1">
        <f t="shared" ref="G23:K23" si="11">SUM(G24:G28)</f>
        <v>280.98436947303992</v>
      </c>
      <c r="H23" s="1">
        <f t="shared" si="11"/>
        <v>256.05488205454884</v>
      </c>
      <c r="I23" s="1">
        <f t="shared" si="11"/>
        <v>189.96463109648747</v>
      </c>
      <c r="J23" s="1">
        <f t="shared" si="11"/>
        <v>119.79584631058583</v>
      </c>
      <c r="K23" s="1">
        <f t="shared" si="11"/>
        <v>88.040873976088093</v>
      </c>
    </row>
    <row r="24" spans="1:18" x14ac:dyDescent="0.35">
      <c r="A24" s="5" t="str">
        <f>A22</f>
        <v>STEM</v>
      </c>
      <c r="B24" s="5" t="str">
        <f t="shared" ref="B24:B87" si="12">B23</f>
        <v>SPS4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101.74113491404702</v>
      </c>
      <c r="G24" s="1" cm="1">
        <f t="array" ref="G24">SUMPRODUCT(("LFO"=[1]OUT_PrimaryEnergyCons!$C$4:$C$10000)*1,[1]OUT_PrimaryEnergyCons!E$4:E$10000)</f>
        <v>88.340537259609377</v>
      </c>
      <c r="H24" s="1" cm="1">
        <f t="array" ref="H24">SUMPRODUCT(("LFO"=[1]OUT_PrimaryEnergyCons!$C$4:$C$10000)*1,[1]OUT_PrimaryEnergyCons!F$4:F$10000)</f>
        <v>85.820859997008071</v>
      </c>
      <c r="I24" s="1" cm="1">
        <f t="array" ref="I24">SUMPRODUCT(("LFO"=[1]OUT_PrimaryEnergyCons!$C$4:$C$10000)*1,[1]OUT_PrimaryEnergyCons!G$4:G$10000)</f>
        <v>59.651706004086428</v>
      </c>
      <c r="J24" s="1" cm="1">
        <f t="array" ref="J24">SUMPRODUCT(("LFO"=[1]OUT_PrimaryEnergyCons!$C$4:$C$10000)*1,[1]OUT_PrimaryEnergyCons!H$4:H$10000)</f>
        <v>31.795463622792941</v>
      </c>
      <c r="K24" s="1" cm="1">
        <f t="array" ref="K24">SUMPRODUCT(("LFO"=[1]OUT_PrimaryEnergyCons!$C$4:$C$10000)*1,[1]OUT_PrimaryEnergyCons!I$4:I$10000)</f>
        <v>11.092308530732268</v>
      </c>
    </row>
    <row r="25" spans="1:18" x14ac:dyDescent="0.35">
      <c r="A25" s="5" t="str">
        <f t="shared" si="3"/>
        <v>STEM</v>
      </c>
      <c r="B25" s="5" t="str">
        <f t="shared" si="12"/>
        <v>SPS4</v>
      </c>
      <c r="C25" s="5" t="str">
        <f t="shared" si="4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2.7763883742389397</v>
      </c>
      <c r="G25" s="1" cm="1">
        <f t="array" ref="G25">SUMPRODUCT(("HFO"=[1]OUT_PrimaryEnergyCons!$C$4:$C$10000)*1,[1]OUT_PrimaryEnergyCons!E$4:E$10000)</f>
        <v>2.6376026654343394</v>
      </c>
      <c r="H25" s="1" cm="1">
        <f t="array" ref="H25">SUMPRODUCT(("HFO"=[1]OUT_PrimaryEnergyCons!$C$4:$C$10000)*1,[1]OUT_PrimaryEnergyCons!F$4:F$10000)</f>
        <v>3.277761678168145E-3</v>
      </c>
      <c r="I25" s="1" cm="1">
        <f t="array" ref="I25">SUMPRODUCT(("HFO"=[1]OUT_PrimaryEnergyCons!$C$4:$C$10000)*1,[1]OUT_PrimaryEnergyCons!G$4:G$10000)</f>
        <v>5.9545448046794064E-4</v>
      </c>
      <c r="J25" s="1" cm="1">
        <f t="array" ref="J25">SUMPRODUCT(("HFO"=[1]OUT_PrimaryEnergyCons!$C$4:$C$10000)*1,[1]OUT_PrimaryEnergyCons!H$4:H$10000)</f>
        <v>7.0543166391569701E-4</v>
      </c>
      <c r="K25" s="1" cm="1">
        <f t="array" ref="K25">SUMPRODUCT(("HFO"=[1]OUT_PrimaryEnergyCons!$C$4:$C$10000)*1,[1]OUT_PrimaryEnergyCons!I$4:I$10000)</f>
        <v>0</v>
      </c>
    </row>
    <row r="26" spans="1:18" x14ac:dyDescent="0.35">
      <c r="A26" s="5" t="str">
        <f t="shared" si="3"/>
        <v>STEM</v>
      </c>
      <c r="B26" s="5" t="str">
        <f t="shared" si="12"/>
        <v>SPS4</v>
      </c>
      <c r="C26" s="5" t="str">
        <f t="shared" si="4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118.36780382425881</v>
      </c>
      <c r="G26" s="1" cm="1">
        <f t="array" ref="G26">SUMPRODUCT(("DSL"=[1]OUT_PrimaryEnergyCons!$C$4:$C$10000)*1,[1]OUT_PrimaryEnergyCons!E$4:E$10000)</f>
        <v>112.68603697773341</v>
      </c>
      <c r="H26" s="1" cm="1">
        <f t="array" ref="H26">SUMPRODUCT(("DSL"=[1]OUT_PrimaryEnergyCons!$C$4:$C$10000)*1,[1]OUT_PrimaryEnergyCons!F$4:F$10000)</f>
        <v>96.183442857683474</v>
      </c>
      <c r="I26" s="1" cm="1">
        <f t="array" ref="I26">SUMPRODUCT(("DSL"=[1]OUT_PrimaryEnergyCons!$C$4:$C$10000)*1,[1]OUT_PrimaryEnergyCons!G$4:G$10000)</f>
        <v>72.099065027168891</v>
      </c>
      <c r="J26" s="1" cm="1">
        <f t="array" ref="J26">SUMPRODUCT(("DSL"=[1]OUT_PrimaryEnergyCons!$C$4:$C$10000)*1,[1]OUT_PrimaryEnergyCons!H$4:H$10000)</f>
        <v>48.979250284617827</v>
      </c>
      <c r="K26" s="1" cm="1">
        <f t="array" ref="K26">SUMPRODUCT(("DSL"=[1]OUT_PrimaryEnergyCons!$C$4:$C$10000)*1,[1]OUT_PrimaryEnergyCons!I$4:I$10000)</f>
        <v>48.013921793931999</v>
      </c>
    </row>
    <row r="27" spans="1:18" x14ac:dyDescent="0.35">
      <c r="A27" s="5" t="str">
        <f t="shared" si="3"/>
        <v>STEM</v>
      </c>
      <c r="B27" s="5" t="str">
        <f t="shared" si="12"/>
        <v>SPS4</v>
      </c>
      <c r="C27" s="5" t="str">
        <f t="shared" si="4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79.877962118399239</v>
      </c>
      <c r="G27" s="1" cm="1">
        <f t="array" ref="G27">SUMPRODUCT(("GSL"=[1]OUT_PrimaryEnergyCons!$C$4:$C$10000)*1,[1]OUT_PrimaryEnergyCons!E$4:E$10000)</f>
        <v>75.914994772831548</v>
      </c>
      <c r="H27" s="1" cm="1">
        <f t="array" ref="H27">SUMPRODUCT(("GSL"=[1]OUT_PrimaryEnergyCons!$C$4:$C$10000)*1,[1]OUT_PrimaryEnergyCons!F$4:F$10000)</f>
        <v>72.199643614653553</v>
      </c>
      <c r="I27" s="1" cm="1">
        <f t="array" ref="I27">SUMPRODUCT(("GSL"=[1]OUT_PrimaryEnergyCons!$C$4:$C$10000)*1,[1]OUT_PrimaryEnergyCons!G$4:G$10000)</f>
        <v>55.649079205545391</v>
      </c>
      <c r="J27" s="1" cm="1">
        <f t="array" ref="J27">SUMPRODUCT(("GSL"=[1]OUT_PrimaryEnergyCons!$C$4:$C$10000)*1,[1]OUT_PrimaryEnergyCons!H$4:H$10000)</f>
        <v>37.863786906508274</v>
      </c>
      <c r="K27" s="1" cm="1">
        <f t="array" ref="K27">SUMPRODUCT(("GSL"=[1]OUT_PrimaryEnergyCons!$C$4:$C$10000)*1,[1]OUT_PrimaryEnergyCons!I$4:I$10000)</f>
        <v>28.179487147323755</v>
      </c>
    </row>
    <row r="28" spans="1:18" x14ac:dyDescent="0.35">
      <c r="A28" s="5" t="str">
        <f t="shared" ref="A28" si="13">A27</f>
        <v>STEM</v>
      </c>
      <c r="B28" s="5" t="str">
        <f t="shared" si="12"/>
        <v>SPS4</v>
      </c>
      <c r="C28" s="5" t="str">
        <f t="shared" ref="C28" si="1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1.108289116965014</v>
      </c>
      <c r="G28" s="1" cm="1">
        <f t="array" ref="G28">SUMPRODUCT(("KER"=[1]OUT_PrimaryEnergyCons!$C$4:$C$10000)*1,[1]OUT_PrimaryEnergyCons!E$4:E$10000)</f>
        <v>1.4051977974312553</v>
      </c>
      <c r="H28" s="1" cm="1">
        <f t="array" ref="H28">SUMPRODUCT(("KER"=[1]OUT_PrimaryEnergyCons!$C$4:$C$10000)*1,[1]OUT_PrimaryEnergyCons!F$4:F$10000)</f>
        <v>1.8476578235255878</v>
      </c>
      <c r="I28" s="1" cm="1">
        <f t="array" ref="I28">SUMPRODUCT(("KER"=[1]OUT_PrimaryEnergyCons!$C$4:$C$10000)*1,[1]OUT_PrimaryEnergyCons!G$4:G$10000)</f>
        <v>2.56418540520629</v>
      </c>
      <c r="J28" s="1" cm="1">
        <f t="array" ref="J28">SUMPRODUCT(("KER"=[1]OUT_PrimaryEnergyCons!$C$4:$C$10000)*1,[1]OUT_PrimaryEnergyCons!H$4:H$10000)</f>
        <v>1.1566400650028736</v>
      </c>
      <c r="K28" s="1" cm="1">
        <f t="array" ref="K28">SUMPRODUCT(("KER"=[1]OUT_PrimaryEnergyCons!$C$4:$C$10000)*1,[1]OUT_PrimaryEnergyCons!I$4:I$10000)</f>
        <v>0.75515650410006518</v>
      </c>
    </row>
    <row r="29" spans="1:18" x14ac:dyDescent="0.35">
      <c r="A29" s="5" t="str">
        <f>A48</f>
        <v>STEM</v>
      </c>
      <c r="B29" s="5" t="str">
        <f t="shared" si="12"/>
        <v>SPS4</v>
      </c>
      <c r="C29" s="5" t="str">
        <f>C48</f>
        <v>CH</v>
      </c>
      <c r="D29" t="s">
        <v>782</v>
      </c>
      <c r="E29" t="s">
        <v>8</v>
      </c>
      <c r="F29" s="1">
        <f>SUM(F30:F31)</f>
        <v>6.7831656697727789</v>
      </c>
      <c r="G29" s="1">
        <f t="shared" ref="G29:K29" si="15">SUM(G30:G31)</f>
        <v>6.7746315076403079</v>
      </c>
      <c r="H29" s="1">
        <f t="shared" si="15"/>
        <v>7.2908516305744371</v>
      </c>
      <c r="I29" s="1">
        <f t="shared" si="15"/>
        <v>11.815097366475921</v>
      </c>
      <c r="J29" s="1">
        <f t="shared" si="15"/>
        <v>11.779319007020391</v>
      </c>
      <c r="K29" s="1">
        <f t="shared" si="15"/>
        <v>11.218153689869752</v>
      </c>
    </row>
    <row r="30" spans="1:18" x14ac:dyDescent="0.35">
      <c r="A30" s="5" t="str">
        <f>A35</f>
        <v>STEM</v>
      </c>
      <c r="B30" s="5" t="str">
        <f t="shared" si="12"/>
        <v>SPS4</v>
      </c>
      <c r="C30" s="5" t="str">
        <f>C35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</f>
        <v>2.3490128866760491</v>
      </c>
      <c r="G30" s="1" cm="1">
        <f t="array" ref="G30">SUMPRODUCT(ISNUMBER(SEARCH("IMPBDS",[1]OUT_SyntheticFuels!$C$4:$C$1000))*1,("Var_Fout"=[1]OUT_SyntheticFuels!$B$4:$B$1000)*1,[1]OUT_SyntheticFuels!F$4:F$1000)</f>
        <v>2.3780130869690796</v>
      </c>
      <c r="H30" s="1" cm="1">
        <f t="array" ref="H30">SUMPRODUCT(ISNUMBER(SEARCH("IMPBDS",[1]OUT_SyntheticFuels!$C$4:$C$1000))*1,("Var_Fout"=[1]OUT_SyntheticFuels!$B$4:$B$1000)*1,[1]OUT_SyntheticFuels!G$4:G$1000)</f>
        <v>3.3165252229331328</v>
      </c>
      <c r="I30" s="1" cm="1">
        <f t="array" ref="I30">SUMPRODUCT(ISNUMBER(SEARCH("IMPBDS",[1]OUT_SyntheticFuels!$C$4:$C$1000))*1,("Var_Fout"=[1]OUT_SyntheticFuels!$B$4:$B$1000)*1,[1]OUT_SyntheticFuels!H$4:H$1000)</f>
        <v>8.5905972981419847</v>
      </c>
      <c r="J30" s="1" cm="1">
        <f t="array" ref="J30">SUMPRODUCT(ISNUMBER(SEARCH("IMPBDS",[1]OUT_SyntheticFuels!$C$4:$C$1000))*1,("Var_Fout"=[1]OUT_SyntheticFuels!$B$4:$B$1000)*1,[1]OUT_SyntheticFuels!I$4:I$1000)</f>
        <v>9.5861025576409773</v>
      </c>
      <c r="K30" s="1" cm="1">
        <f t="array" ref="K30">SUMPRODUCT(ISNUMBER(SEARCH("IMPBDS",[1]OUT_SyntheticFuels!$C$4:$C$1000))*1,("Var_Fout"=[1]OUT_SyntheticFuels!$B$4:$B$1000)*1,[1]OUT_SyntheticFuels!J$4:J$1000)</f>
        <v>9.5857773241054218</v>
      </c>
    </row>
    <row r="31" spans="1:18" x14ac:dyDescent="0.35">
      <c r="A31" s="5" t="str">
        <f>A30</f>
        <v>STEM</v>
      </c>
      <c r="B31" s="5" t="str">
        <f t="shared" si="12"/>
        <v>SPS4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4.4341527830967298</v>
      </c>
      <c r="G31" s="1" cm="1">
        <f t="array" ref="G31">SUMPRODUCT(ISNUMBER(SEARCH("IMPeth",[1]OUT_SyntheticFuels!$C$4:$C$1000))*1,("Var_Fout"=[1]OUT_SyntheticFuels!$B$4:$B$1000)*1,[1]OUT_SyntheticFuels!F$4:F$1000)</f>
        <v>4.3966184206712287</v>
      </c>
      <c r="H31" s="1" cm="1">
        <f t="array" ref="H31">SUMPRODUCT(ISNUMBER(SEARCH("IMPeth",[1]OUT_SyntheticFuels!$C$4:$C$1000))*1,("Var_Fout"=[1]OUT_SyntheticFuels!$B$4:$B$1000)*1,[1]OUT_SyntheticFuels!G$4:G$1000)</f>
        <v>3.9743264076413043</v>
      </c>
      <c r="I31" s="1" cm="1">
        <f t="array" ref="I31">SUMPRODUCT(ISNUMBER(SEARCH("IMPeth",[1]OUT_SyntheticFuels!$C$4:$C$1000))*1,("Var_Fout"=[1]OUT_SyntheticFuels!$B$4:$B$1000)*1,[1]OUT_SyntheticFuels!H$4:H$1000)</f>
        <v>3.2245000683339358</v>
      </c>
      <c r="J31" s="1" cm="1">
        <f t="array" ref="J31">SUMPRODUCT(ISNUMBER(SEARCH("IMPeth",[1]OUT_SyntheticFuels!$C$4:$C$1000))*1,("Var_Fout"=[1]OUT_SyntheticFuels!$B$4:$B$1000)*1,[1]OUT_SyntheticFuels!I$4:I$1000)</f>
        <v>2.1932164493794124</v>
      </c>
      <c r="K31" s="1" cm="1">
        <f t="array" ref="K31">SUMPRODUCT(ISNUMBER(SEARCH("IMPeth",[1]OUT_SyntheticFuels!$C$4:$C$1000))*1,("Var_Fout"=[1]OUT_SyntheticFuels!$B$4:$B$1000)*1,[1]OUT_SyntheticFuels!J$4:J$1000)</f>
        <v>1.63237636576433</v>
      </c>
    </row>
    <row r="32" spans="1:18" x14ac:dyDescent="0.35">
      <c r="A32" s="5" t="str">
        <f>A29</f>
        <v>STEM</v>
      </c>
      <c r="B32" s="5" t="str">
        <f t="shared" si="12"/>
        <v>SPS4</v>
      </c>
      <c r="C32" s="5" t="str">
        <f>C29</f>
        <v>CH</v>
      </c>
      <c r="D32" t="s">
        <v>532</v>
      </c>
      <c r="E32" t="s">
        <v>8</v>
      </c>
      <c r="F32" s="1">
        <f t="shared" ref="F32:K32" si="16">SUM(F33:F34)</f>
        <v>6.7831656697727789</v>
      </c>
      <c r="G32" s="1">
        <f t="shared" si="16"/>
        <v>6.7746315076403079</v>
      </c>
      <c r="H32" s="1">
        <f t="shared" si="16"/>
        <v>7.2908516305744371</v>
      </c>
      <c r="I32" s="1">
        <f t="shared" si="16"/>
        <v>11.815097366475921</v>
      </c>
      <c r="J32" s="1">
        <f t="shared" si="16"/>
        <v>10.783813747521396</v>
      </c>
      <c r="K32" s="1">
        <f t="shared" si="16"/>
        <v>11.218153689869752</v>
      </c>
    </row>
    <row r="33" spans="1:11" x14ac:dyDescent="0.35">
      <c r="A33" s="5" t="str">
        <f>A31</f>
        <v>STEM</v>
      </c>
      <c r="B33" s="5" t="str">
        <f t="shared" si="12"/>
        <v>SPS4</v>
      </c>
      <c r="C33" s="5" t="str">
        <f>C31</f>
        <v>CH</v>
      </c>
      <c r="D33" t="s">
        <v>533</v>
      </c>
      <c r="E33" t="s">
        <v>8</v>
      </c>
      <c r="F33" s="1">
        <f t="shared" ref="F33:I34" si="17">F30</f>
        <v>2.3490128866760491</v>
      </c>
      <c r="G33" s="1">
        <f t="shared" si="17"/>
        <v>2.3780130869690796</v>
      </c>
      <c r="H33" s="1">
        <f t="shared" si="17"/>
        <v>3.3165252229331328</v>
      </c>
      <c r="I33" s="1">
        <f t="shared" si="17"/>
        <v>8.5905972981419847</v>
      </c>
      <c r="J33" s="1">
        <f>IF(J30-MAX(F30:I30)&lt;0,J30,MAX(F30:I30))</f>
        <v>8.5905972981419847</v>
      </c>
      <c r="K33" s="1">
        <f>IF(K30-MAX(F30:J30)&lt;0,K30,MAX(F30:J30))</f>
        <v>9.5857773241054218</v>
      </c>
    </row>
    <row r="34" spans="1:11" x14ac:dyDescent="0.35">
      <c r="A34" s="5" t="str">
        <f>A33</f>
        <v>STEM</v>
      </c>
      <c r="B34" s="5" t="str">
        <f t="shared" si="12"/>
        <v>SPS4</v>
      </c>
      <c r="C34" s="5" t="str">
        <f>C33</f>
        <v>CH</v>
      </c>
      <c r="D34" t="s">
        <v>534</v>
      </c>
      <c r="E34" t="s">
        <v>8</v>
      </c>
      <c r="F34" s="1">
        <f t="shared" si="17"/>
        <v>4.4341527830967298</v>
      </c>
      <c r="G34" s="1">
        <f t="shared" si="17"/>
        <v>4.3966184206712287</v>
      </c>
      <c r="H34" s="1">
        <f t="shared" si="17"/>
        <v>3.9743264076413043</v>
      </c>
      <c r="I34" s="1">
        <f t="shared" si="17"/>
        <v>3.2245000683339358</v>
      </c>
      <c r="J34" s="1">
        <f>IF(J31-MAX(F31:I31)&lt;0,J31,MAX(F31:I31))</f>
        <v>2.1932164493794124</v>
      </c>
      <c r="K34" s="1">
        <f>IF(K31-MAX(F31:J31)&lt;0,K31,MAX(F31:J31))</f>
        <v>1.63237636576433</v>
      </c>
    </row>
    <row r="35" spans="1:11" x14ac:dyDescent="0.35">
      <c r="A35" s="5" t="str">
        <f>A32</f>
        <v>STEM</v>
      </c>
      <c r="B35" s="5" t="str">
        <f t="shared" si="12"/>
        <v>SPS4</v>
      </c>
      <c r="C35" s="5" t="str">
        <f>C32</f>
        <v>CH</v>
      </c>
      <c r="D35" t="s">
        <v>783</v>
      </c>
      <c r="E35" t="s">
        <v>8</v>
      </c>
      <c r="F35" s="1">
        <f t="shared" ref="F35:K35" si="18">SUM(F36:F37)</f>
        <v>0</v>
      </c>
      <c r="G35" s="1">
        <f t="shared" si="18"/>
        <v>0</v>
      </c>
      <c r="H35" s="1">
        <f t="shared" si="18"/>
        <v>0</v>
      </c>
      <c r="I35" s="1">
        <f t="shared" si="18"/>
        <v>0</v>
      </c>
      <c r="J35" s="1">
        <f t="shared" si="18"/>
        <v>0.9955052594989926</v>
      </c>
      <c r="K35" s="1">
        <f t="shared" si="18"/>
        <v>0</v>
      </c>
    </row>
    <row r="36" spans="1:11" x14ac:dyDescent="0.35">
      <c r="A36" s="5" t="str">
        <f>A34</f>
        <v>STEM</v>
      </c>
      <c r="B36" s="5" t="str">
        <f t="shared" si="12"/>
        <v>SPS4</v>
      </c>
      <c r="C36" s="5" t="str">
        <f>C34</f>
        <v>CH</v>
      </c>
      <c r="D36" t="s">
        <v>535</v>
      </c>
      <c r="E36" t="s">
        <v>8</v>
      </c>
      <c r="F36" s="1">
        <v>0</v>
      </c>
      <c r="G36" s="1">
        <v>0</v>
      </c>
      <c r="H36" s="1">
        <v>0</v>
      </c>
      <c r="I36" s="1">
        <v>0</v>
      </c>
      <c r="J36" s="1">
        <f>J30-J33</f>
        <v>0.9955052594989926</v>
      </c>
      <c r="K36" s="1">
        <f>K30-K33</f>
        <v>0</v>
      </c>
    </row>
    <row r="37" spans="1:11" x14ac:dyDescent="0.35">
      <c r="A37" s="5" t="str">
        <f>A36</f>
        <v>STEM</v>
      </c>
      <c r="B37" s="5" t="str">
        <f t="shared" si="12"/>
        <v>SPS4</v>
      </c>
      <c r="C37" s="5" t="str">
        <f>C36</f>
        <v>CH</v>
      </c>
      <c r="D37" t="s">
        <v>536</v>
      </c>
      <c r="E37" t="s">
        <v>8</v>
      </c>
      <c r="F37" s="1">
        <v>0</v>
      </c>
      <c r="G37" s="1">
        <v>0</v>
      </c>
      <c r="H37" s="1">
        <v>0</v>
      </c>
      <c r="I37" s="1">
        <v>0</v>
      </c>
      <c r="J37" s="1">
        <f>J31-J34</f>
        <v>0</v>
      </c>
      <c r="K37" s="1">
        <f>K31-K34</f>
        <v>0</v>
      </c>
    </row>
    <row r="38" spans="1:11" x14ac:dyDescent="0.35">
      <c r="A38" s="5"/>
      <c r="B38" s="5" t="str">
        <f t="shared" si="12"/>
        <v>SPS4</v>
      </c>
      <c r="C38" s="5" t="str">
        <f>C37</f>
        <v>CH</v>
      </c>
      <c r="D38" t="s">
        <v>537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 x14ac:dyDescent="0.35">
      <c r="A39" s="5" t="str">
        <f t="shared" ref="A39:C40" si="19">A28</f>
        <v>STEM</v>
      </c>
      <c r="B39" s="5" t="str">
        <f t="shared" si="12"/>
        <v>SPS4</v>
      </c>
      <c r="C39" s="5" t="str">
        <f t="shared" si="19"/>
        <v>CH</v>
      </c>
      <c r="D39" t="s">
        <v>784</v>
      </c>
      <c r="E39" t="s">
        <v>8</v>
      </c>
      <c r="F39" s="1">
        <f>F40+F43</f>
        <v>117.08258364583848</v>
      </c>
      <c r="G39" s="1">
        <f t="shared" ref="G39:K39" si="20">G40+G43</f>
        <v>107.23650502697299</v>
      </c>
      <c r="H39" s="1">
        <f t="shared" si="20"/>
        <v>105.92888091676858</v>
      </c>
      <c r="I39" s="1">
        <f t="shared" si="20"/>
        <v>104.68228137144082</v>
      </c>
      <c r="J39" s="1">
        <f t="shared" si="20"/>
        <v>97.067454849273432</v>
      </c>
      <c r="K39" s="1">
        <f t="shared" si="20"/>
        <v>100.07797831786263</v>
      </c>
    </row>
    <row r="40" spans="1:11" x14ac:dyDescent="0.35">
      <c r="A40" s="5" t="str">
        <f t="shared" si="19"/>
        <v>STEM</v>
      </c>
      <c r="B40" s="5" t="str">
        <f t="shared" si="12"/>
        <v>SPS4</v>
      </c>
      <c r="C40" s="5" t="str">
        <f t="shared" si="19"/>
        <v>CH</v>
      </c>
      <c r="D40" t="s">
        <v>549</v>
      </c>
      <c r="E40" t="s">
        <v>8</v>
      </c>
      <c r="F40" s="1">
        <f>F41+F42</f>
        <v>117.08258364583848</v>
      </c>
      <c r="G40" s="1">
        <f t="shared" ref="G40:K40" si="21">G41+G42</f>
        <v>106.71999986044118</v>
      </c>
      <c r="H40" s="1">
        <f t="shared" si="21"/>
        <v>105.92843762674161</v>
      </c>
      <c r="I40" s="1">
        <f t="shared" si="21"/>
        <v>102.03024465238508</v>
      </c>
      <c r="J40" s="1">
        <f t="shared" si="21"/>
        <v>94.203113518374224</v>
      </c>
      <c r="K40" s="1">
        <f t="shared" si="21"/>
        <v>96.6521853251718</v>
      </c>
    </row>
    <row r="41" spans="1:11" x14ac:dyDescent="0.35">
      <c r="A41" s="5" t="str">
        <f>A27</f>
        <v>STEM</v>
      </c>
      <c r="B41" s="5" t="str">
        <f t="shared" si="12"/>
        <v>SPS4</v>
      </c>
      <c r="C41" s="5" t="str">
        <f>C27</f>
        <v>CH</v>
      </c>
      <c r="D41" t="s">
        <v>550</v>
      </c>
      <c r="E41" t="s">
        <v>8</v>
      </c>
      <c r="F41" s="1" cm="1">
        <f t="array" ref="F41">SUMPRODUCT(("NGA"=[1]OUT_PrimaryEnergyCons!$C$4:$C$10000)*1,[1]OUT_PrimaryEnergyCons!D$4:D$10000)</f>
        <v>117.08258364583848</v>
      </c>
      <c r="G41" s="1" cm="1">
        <f t="array" ref="G41">SUMPRODUCT(("NGA"=[1]OUT_PrimaryEnergyCons!$C$4:$C$10000)*1,[1]OUT_PrimaryEnergyCons!E$4:E$10000)</f>
        <v>106.71999986044118</v>
      </c>
      <c r="H41" s="1" cm="1">
        <f t="array" ref="H41">SUMPRODUCT(("NGA"=[1]OUT_PrimaryEnergyCons!$C$4:$C$10000)*1,[1]OUT_PrimaryEnergyCons!F$4:F$10000)</f>
        <v>105.92843762674161</v>
      </c>
      <c r="I41" s="1" cm="1">
        <f t="array" ref="I41">SUMPRODUCT(("NGA"=[1]OUT_PrimaryEnergyCons!$C$4:$C$10000)*1,[1]OUT_PrimaryEnergyCons!G$4:G$10000)</f>
        <v>102.02943697435552</v>
      </c>
      <c r="J41" s="1" cm="1">
        <f t="array" ref="J41">SUMPRODUCT(("NGA"=[1]OUT_PrimaryEnergyCons!$C$4:$C$10000)*1,[1]OUT_PrimaryEnergyCons!H$4:H$10000)</f>
        <v>94.202409132162543</v>
      </c>
      <c r="K41" s="1" cm="1">
        <f t="array" ref="K41">SUMPRODUCT(("NGA"=[1]OUT_PrimaryEnergyCons!$C$4:$C$10000)*1,[1]OUT_PrimaryEnergyCons!I$4:I$10000)</f>
        <v>96.651765320470858</v>
      </c>
    </row>
    <row r="42" spans="1:11" x14ac:dyDescent="0.35">
      <c r="A42" s="5" t="str">
        <f t="shared" si="3"/>
        <v>STEM</v>
      </c>
      <c r="B42" s="5" t="str">
        <f t="shared" si="12"/>
        <v>SPS4</v>
      </c>
      <c r="C42" s="5" t="str">
        <f t="shared" si="4"/>
        <v>CH</v>
      </c>
      <c r="D42" t="s">
        <v>551</v>
      </c>
      <c r="E42" t="s">
        <v>8</v>
      </c>
      <c r="F42" s="1" cm="1">
        <f t="array" ref="F42">SUMPRODUCT(("LNGA"=[1]OUT_PrimaryEnergyCons!$C$4:$C$10000)*1,[1]OUT_PrimaryEnergyCons!D$4:D$10000)</f>
        <v>0</v>
      </c>
      <c r="G42" s="1" cm="1">
        <f t="array" ref="G42">SUMPRODUCT(("LNGA"=[1]OUT_PrimaryEnergyCons!$C$4:$C$10000)*1,[1]OUT_PrimaryEnergyCons!E$4:E$10000)</f>
        <v>0</v>
      </c>
      <c r="H42" s="1" cm="1">
        <f t="array" ref="H42">SUMPRODUCT(("LNGA"=[1]OUT_PrimaryEnergyCons!$C$4:$C$10000)*1,[1]OUT_PrimaryEnergyCons!F$4:F$10000)</f>
        <v>0</v>
      </c>
      <c r="I42" s="1" cm="1">
        <f t="array" ref="I42">SUMPRODUCT(("LNGA"=[1]OUT_PrimaryEnergyCons!$C$4:$C$10000)*1,[1]OUT_PrimaryEnergyCons!G$4:G$10000)</f>
        <v>8.0767802955452955E-4</v>
      </c>
      <c r="J42" s="1" cm="1">
        <f t="array" ref="J42">SUMPRODUCT(("LNGA"=[1]OUT_PrimaryEnergyCons!$C$4:$C$10000)*1,[1]OUT_PrimaryEnergyCons!H$4:H$10000)</f>
        <v>7.0438621167654835E-4</v>
      </c>
      <c r="K42" s="1" cm="1">
        <f t="array" ref="K42">SUMPRODUCT(("LNGA"=[1]OUT_PrimaryEnergyCons!$C$4:$C$10000)*1,[1]OUT_PrimaryEnergyCons!I$4:I$10000)</f>
        <v>4.2000470094739483E-4</v>
      </c>
    </row>
    <row r="43" spans="1:11" x14ac:dyDescent="0.35">
      <c r="A43" s="5" t="str">
        <f>A37</f>
        <v>STEM</v>
      </c>
      <c r="B43" s="5" t="str">
        <f t="shared" si="12"/>
        <v>SPS4</v>
      </c>
      <c r="C43" s="5" t="str">
        <f>C37</f>
        <v>CH</v>
      </c>
      <c r="D43" t="s">
        <v>785</v>
      </c>
      <c r="E43" t="s">
        <v>8</v>
      </c>
      <c r="F43" s="1" cm="1">
        <f t="array" ref="F43">SUMPRODUCT(("BIO"=[1]OUT_PrimaryEnergyCons!$C$4:$C$10000)*1+("LBIO"=[1]OUT_PrimaryEnergyCons!$C$4:$C$10000)*1,[1]OUT_PrimaryEnergyCons!D$4:D$10000)</f>
        <v>0</v>
      </c>
      <c r="G43" s="1" cm="1">
        <f t="array" ref="G43">SUMPRODUCT(("BIO"=[1]OUT_PrimaryEnergyCons!$C$4:$C$10000)*1+("LBIO"=[1]OUT_PrimaryEnergyCons!$C$4:$C$10000)*1,[1]OUT_PrimaryEnergyCons!E$4:E$10000)</f>
        <v>0.51650516653181899</v>
      </c>
      <c r="H43" s="1" cm="1">
        <f t="array" ref="H43">SUMPRODUCT(("BIO"=[1]OUT_PrimaryEnergyCons!$C$4:$C$10000)*1+("LBIO"=[1]OUT_PrimaryEnergyCons!$C$4:$C$10000)*1,[1]OUT_PrimaryEnergyCons!F$4:F$10000)</f>
        <v>4.4329002696620194E-4</v>
      </c>
      <c r="I43" s="1" cm="1">
        <f t="array" ref="I43">SUMPRODUCT(("BIO"=[1]OUT_PrimaryEnergyCons!$C$4:$C$10000)*1+("LBIO"=[1]OUT_PrimaryEnergyCons!$C$4:$C$10000)*1,[1]OUT_PrimaryEnergyCons!G$4:G$10000)</f>
        <v>2.6520367190557428</v>
      </c>
      <c r="J43" s="1" cm="1">
        <f t="array" ref="J43">SUMPRODUCT(("BIO"=[1]OUT_PrimaryEnergyCons!$C$4:$C$10000)*1+("LBIO"=[1]OUT_PrimaryEnergyCons!$C$4:$C$10000)*1,[1]OUT_PrimaryEnergyCons!H$4:H$10000)</f>
        <v>2.8643413308992089</v>
      </c>
      <c r="K43" s="1" cm="1">
        <f t="array" ref="K43">SUMPRODUCT(("BIO"=[1]OUT_PrimaryEnergyCons!$C$4:$C$10000)*1+("LBIO"=[1]OUT_PrimaryEnergyCons!$C$4:$C$10000)*1,[1]OUT_PrimaryEnergyCons!I$4:I$10000)</f>
        <v>3.4257929926908255</v>
      </c>
    </row>
    <row r="44" spans="1:11" x14ac:dyDescent="0.35">
      <c r="A44" s="5" t="str">
        <f t="shared" ref="A44:C45" si="22">A43</f>
        <v>STEM</v>
      </c>
      <c r="B44" s="5" t="str">
        <f t="shared" si="12"/>
        <v>SPS4</v>
      </c>
      <c r="C44" s="5" t="str">
        <f t="shared" si="22"/>
        <v>CH</v>
      </c>
      <c r="D44" t="s">
        <v>786</v>
      </c>
      <c r="E44" t="s">
        <v>8</v>
      </c>
      <c r="F44" s="1">
        <f t="shared" ref="F44:K44" si="23">F45</f>
        <v>0</v>
      </c>
      <c r="G44" s="1">
        <f t="shared" si="23"/>
        <v>0.51650516653181899</v>
      </c>
      <c r="H44" s="1">
        <f t="shared" si="23"/>
        <v>4.4329002696620194E-4</v>
      </c>
      <c r="I44" s="1">
        <f t="shared" si="23"/>
        <v>2.6520367190557428</v>
      </c>
      <c r="J44" s="1">
        <f t="shared" si="23"/>
        <v>2.6520367190557428</v>
      </c>
      <c r="K44" s="1">
        <f t="shared" si="23"/>
        <v>2.8643413308992089</v>
      </c>
    </row>
    <row r="45" spans="1:11" x14ac:dyDescent="0.35">
      <c r="A45" s="5" t="str">
        <f t="shared" si="22"/>
        <v>STEM</v>
      </c>
      <c r="B45" s="5" t="str">
        <f t="shared" si="12"/>
        <v>SPS4</v>
      </c>
      <c r="C45" s="5" t="str">
        <f t="shared" si="22"/>
        <v>CH</v>
      </c>
      <c r="D45" t="s">
        <v>611</v>
      </c>
      <c r="E45" t="s">
        <v>8</v>
      </c>
      <c r="F45" s="1">
        <f>F43</f>
        <v>0</v>
      </c>
      <c r="G45" s="1">
        <f>G43</f>
        <v>0.51650516653181899</v>
      </c>
      <c r="H45" s="1">
        <f>H43</f>
        <v>4.4329002696620194E-4</v>
      </c>
      <c r="I45" s="1">
        <f>I43</f>
        <v>2.6520367190557428</v>
      </c>
      <c r="J45" s="1">
        <f>IF(J43-MAX(F43:I43)&lt;0,J43,MAX(F43:I43))</f>
        <v>2.6520367190557428</v>
      </c>
      <c r="K45" s="1">
        <f>IF(K43-MAX(G43:J43)&lt;0,K43,MAX(G43:J43))</f>
        <v>2.8643413308992089</v>
      </c>
    </row>
    <row r="46" spans="1:11" x14ac:dyDescent="0.35">
      <c r="A46" s="5" t="str">
        <f>A44</f>
        <v>STEM</v>
      </c>
      <c r="B46" s="5" t="str">
        <f t="shared" si="12"/>
        <v>SPS4</v>
      </c>
      <c r="C46" s="5" t="str">
        <f>C44</f>
        <v>CH</v>
      </c>
      <c r="D46" t="s">
        <v>787</v>
      </c>
      <c r="E46" t="s">
        <v>8</v>
      </c>
      <c r="F46" s="1">
        <f t="shared" ref="F46:K46" si="24">F47</f>
        <v>0</v>
      </c>
      <c r="G46" s="1">
        <f t="shared" si="24"/>
        <v>0</v>
      </c>
      <c r="H46" s="1">
        <f t="shared" si="24"/>
        <v>0</v>
      </c>
      <c r="I46" s="1">
        <f t="shared" si="24"/>
        <v>0</v>
      </c>
      <c r="J46" s="1">
        <f t="shared" si="24"/>
        <v>0.21230461184346616</v>
      </c>
      <c r="K46" s="1">
        <f t="shared" si="24"/>
        <v>0.56145166179161654</v>
      </c>
    </row>
    <row r="47" spans="1:11" x14ac:dyDescent="0.35">
      <c r="A47" s="5" t="str">
        <f t="shared" ref="A47" si="25">A45</f>
        <v>STEM</v>
      </c>
      <c r="B47" s="5" t="str">
        <f t="shared" si="12"/>
        <v>SPS4</v>
      </c>
      <c r="C47" s="5" t="str">
        <f t="shared" ref="C47" si="26">C45</f>
        <v>CH</v>
      </c>
      <c r="D47" t="s">
        <v>612</v>
      </c>
      <c r="E47" t="s">
        <v>8</v>
      </c>
      <c r="F47" s="1">
        <v>0</v>
      </c>
      <c r="G47" s="1">
        <v>0</v>
      </c>
      <c r="H47" s="1">
        <v>0</v>
      </c>
      <c r="I47" s="1">
        <v>0</v>
      </c>
      <c r="J47" s="1">
        <f>J43-J45</f>
        <v>0.21230461184346616</v>
      </c>
      <c r="K47" s="1">
        <f>K43-K45</f>
        <v>0.56145166179161654</v>
      </c>
    </row>
    <row r="48" spans="1:11" x14ac:dyDescent="0.35">
      <c r="A48" s="5" t="str">
        <f>A42</f>
        <v>STEM</v>
      </c>
      <c r="B48" s="5" t="str">
        <f t="shared" si="12"/>
        <v>SPS4</v>
      </c>
      <c r="C48" s="5" t="str">
        <f>C42</f>
        <v>CH</v>
      </c>
      <c r="D48" t="s">
        <v>788</v>
      </c>
      <c r="E48" t="s">
        <v>8</v>
      </c>
      <c r="F48" s="1" cm="1">
        <f t="array" ref="F48">SUMPRODUCT(("urn"=[1]OUT_PrimaryEnergyCons!$C$4:$C$10000)*1,[1]OUT_PrimaryEnergyCons!D$4:D$10000)</f>
        <v>250.9482066226399</v>
      </c>
      <c r="G48" s="1" cm="1">
        <f t="array" ref="G48">SUMPRODUCT(("urn"=[1]OUT_PrimaryEnergyCons!$C$4:$C$10000)*1,[1]OUT_PrimaryEnergyCons!E$4:E$10000)</f>
        <v>253.29997126607861</v>
      </c>
      <c r="H48" s="1" cm="1">
        <f t="array" ref="H48">SUMPRODUCT(("urn"=[1]OUT_PrimaryEnergyCons!$C$4:$C$10000)*1,[1]OUT_PrimaryEnergyCons!F$4:F$10000)</f>
        <v>206.08389501720879</v>
      </c>
      <c r="I48" s="1" cm="1">
        <f t="array" ref="I48">SUMPRODUCT(("urn"=[1]OUT_PrimaryEnergyCons!$C$4:$C$10000)*1,[1]OUT_PrimaryEnergyCons!G$4:G$10000)</f>
        <v>211.89120755072275</v>
      </c>
      <c r="J48" s="1" cm="1">
        <f t="array" ref="J48">SUMPRODUCT(("urn"=[1]OUT_PrimaryEnergyCons!$C$4:$C$10000)*1,[1]OUT_PrimaryEnergyCons!H$4:H$10000)</f>
        <v>98.945536106252703</v>
      </c>
      <c r="K48" s="1" cm="1">
        <f t="array" ref="K48">SUMPRODUCT(("urn"=[1]OUT_PrimaryEnergyCons!$C$4:$C$10000)*1,[1]OUT_PrimaryEnergyCons!I$4:I$10000)</f>
        <v>0</v>
      </c>
    </row>
    <row r="49" spans="1:19" x14ac:dyDescent="0.35">
      <c r="A49" s="5" t="str">
        <f>A37</f>
        <v>STEM</v>
      </c>
      <c r="B49" s="5" t="str">
        <f t="shared" si="12"/>
        <v>SPS4</v>
      </c>
      <c r="C49" s="5" t="str">
        <f>C37</f>
        <v>CH</v>
      </c>
      <c r="D49" t="s">
        <v>789</v>
      </c>
      <c r="E49" t="s">
        <v>8</v>
      </c>
      <c r="F49" s="1">
        <f>SUM(F50:F53)</f>
        <v>97.160019574813532</v>
      </c>
      <c r="G49" s="1">
        <f t="shared" ref="G49:K49" si="27">SUM(G50:G53)</f>
        <v>50.275305859769169</v>
      </c>
      <c r="H49" s="1">
        <f t="shared" si="27"/>
        <v>50.454006316692016</v>
      </c>
      <c r="I49" s="1">
        <f t="shared" si="27"/>
        <v>50.74923964752761</v>
      </c>
      <c r="J49" s="1">
        <f t="shared" si="27"/>
        <v>43.184675337581091</v>
      </c>
      <c r="K49" s="1">
        <f t="shared" si="27"/>
        <v>37.208427346026902</v>
      </c>
    </row>
    <row r="50" spans="1:19" x14ac:dyDescent="0.35">
      <c r="A50" s="5" t="str">
        <f t="shared" si="3"/>
        <v>STEM</v>
      </c>
      <c r="B50" s="5" t="str">
        <f t="shared" si="12"/>
        <v>SPS4</v>
      </c>
      <c r="C50" s="5" t="str">
        <f t="shared" si="4"/>
        <v>CH</v>
      </c>
      <c r="D50" t="s">
        <v>20</v>
      </c>
      <c r="E50" t="s">
        <v>8</v>
      </c>
      <c r="F50" s="1" cm="1">
        <f t="array" ref="F50">SUMPRODUCT(([1]OUT_Electricity_CHP!$B$1:$B$10000="G-INTC-IMP00-AT")*1,([1]OUT_Electricity_CHP!$C$1:$C$10000="Var_Fout")*1,ISNUMBER(SEARCH("ELC",[1]OUT_Electricity_CHP!$D$1:$D$10000))*1,[1]OUT_Electricity_CHP!E$1:E$10000)</f>
        <v>15.013814002590994</v>
      </c>
      <c r="G50" s="1" cm="1">
        <f t="array" ref="G50">SUMPRODUCT(([1]OUT_Electricity_CHP!$B$1:$B$10000="G-INTC-IMP00-AT")*1,([1]OUT_Electricity_CHP!$C$1:$C$10000="Var_Fout")*1,ISNUMBER(SEARCH("ELC",[1]OUT_Electricity_CHP!$D$1:$D$10000))*1,[1]OUT_Electricity_CHP!F$1:F$10000)</f>
        <v>7.7724935494938542E-3</v>
      </c>
      <c r="H50" s="1" cm="1">
        <f t="array" ref="H50">SUMPRODUCT(([1]OUT_Electricity_CHP!$B$1:$B$10000="G-INTC-IMP00-AT")*1,([1]OUT_Electricity_CHP!$C$1:$C$10000="Var_Fout")*1,ISNUMBER(SEARCH("ELC",[1]OUT_Electricity_CHP!$D$1:$D$10000))*1,[1]OUT_Electricity_CHP!G$1:G$10000)</f>
        <v>5.0277396783774487E-3</v>
      </c>
      <c r="I50" s="1" cm="1">
        <f t="array" ref="I50">SUMPRODUCT(([1]OUT_Electricity_CHP!$B$1:$B$10000="G-INTC-IMP00-AT")*1,([1]OUT_Electricity_CHP!$C$1:$C$10000="Var_Fout")*1,ISNUMBER(SEARCH("ELC",[1]OUT_Electricity_CHP!$D$1:$D$10000))*1,[1]OUT_Electricity_CHP!H$1:H$10000)</f>
        <v>4.2378282951149576E-3</v>
      </c>
      <c r="J50" s="1" cm="1">
        <f t="array" ref="J50">SUMPRODUCT(([1]OUT_Electricity_CHP!$B$1:$B$10000="G-INTC-IMP00-AT")*1,([1]OUT_Electricity_CHP!$C$1:$C$10000="Var_Fout")*1,ISNUMBER(SEARCH("ELC",[1]OUT_Electricity_CHP!$D$1:$D$10000))*1,[1]OUT_Electricity_CHP!I$1:I$10000)</f>
        <v>2.5487078317778145E-3</v>
      </c>
      <c r="K50" s="1" cm="1">
        <f t="array" ref="K50">SUMPRODUCT(([1]OUT_Electricity_CHP!$B$1:$B$10000="G-INTC-IMP00-AT")*1,([1]OUT_Electricity_CHP!$C$1:$C$10000="Var_Fout")*1,ISNUMBER(SEARCH("ELC",[1]OUT_Electricity_CHP!$D$1:$D$10000))*1,[1]OUT_Electricity_CHP!J$1:J$10000)</f>
        <v>2.5329283400141733E-3</v>
      </c>
    </row>
    <row r="51" spans="1:19" x14ac:dyDescent="0.35">
      <c r="A51" s="5" t="str">
        <f t="shared" si="3"/>
        <v>STEM</v>
      </c>
      <c r="B51" s="5" t="str">
        <f t="shared" si="12"/>
        <v>SPS4</v>
      </c>
      <c r="C51" s="5" t="str">
        <f t="shared" si="4"/>
        <v>CH</v>
      </c>
      <c r="D51" t="s">
        <v>21</v>
      </c>
      <c r="E51" t="s">
        <v>8</v>
      </c>
      <c r="F51" s="1" cm="1">
        <f t="array" ref="F51">SUMPRODUCT(([1]OUT_Electricity_CHP!$B$1:$B$10000="G-INTC-IMP00-fr")*1,([1]OUT_Electricity_CHP!$C$1:$C$10000="Var_Fout")*1,ISNUMBER(SEARCH("ELC",[1]OUT_Electricity_CHP!$D$1:$D$10000))*1,[1]OUT_Electricity_CHP!E$1:E$10000)</f>
        <v>28.948625749861428</v>
      </c>
      <c r="G51" s="1" cm="1">
        <f t="array" ref="G51">SUMPRODUCT(([1]OUT_Electricity_CHP!$B$1:$B$10000="G-INTC-IMP00-fr")*1,([1]OUT_Electricity_CHP!$C$1:$C$10000="Var_Fout")*1,ISNUMBER(SEARCH("ELC",[1]OUT_Electricity_CHP!$D$1:$D$10000))*1,[1]OUT_Electricity_CHP!F$1:F$10000)</f>
        <v>16.952491235370033</v>
      </c>
      <c r="H51" s="1" cm="1">
        <f t="array" ref="H51">SUMPRODUCT(([1]OUT_Electricity_CHP!$B$1:$B$10000="G-INTC-IMP00-fr")*1,([1]OUT_Electricity_CHP!$C$1:$C$10000="Var_Fout")*1,ISNUMBER(SEARCH("ELC",[1]OUT_Electricity_CHP!$D$1:$D$10000))*1,[1]OUT_Electricity_CHP!G$1:G$10000)</f>
        <v>18.862148103575215</v>
      </c>
      <c r="I51" s="1" cm="1">
        <f t="array" ref="I51">SUMPRODUCT(([1]OUT_Electricity_CHP!$B$1:$B$10000="G-INTC-IMP00-fr")*1,([1]OUT_Electricity_CHP!$C$1:$C$10000="Var_Fout")*1,ISNUMBER(SEARCH("ELC",[1]OUT_Electricity_CHP!$D$1:$D$10000))*1,[1]OUT_Electricity_CHP!H$1:H$10000)</f>
        <v>14.81735249082123</v>
      </c>
      <c r="J51" s="1" cm="1">
        <f t="array" ref="J51">SUMPRODUCT(([1]OUT_Electricity_CHP!$B$1:$B$10000="G-INTC-IMP00-fr")*1,([1]OUT_Electricity_CHP!$C$1:$C$10000="Var_Fout")*1,ISNUMBER(SEARCH("ELC",[1]OUT_Electricity_CHP!$D$1:$D$10000))*1,[1]OUT_Electricity_CHP!I$1:I$10000)</f>
        <v>10.580581529721572</v>
      </c>
      <c r="K51" s="1" cm="1">
        <f t="array" ref="K51">SUMPRODUCT(([1]OUT_Electricity_CHP!$B$1:$B$10000="G-INTC-IMP00-fr")*1,([1]OUT_Electricity_CHP!$C$1:$C$10000="Var_Fout")*1,ISNUMBER(SEARCH("ELC",[1]OUT_Electricity_CHP!$D$1:$D$10000))*1,[1]OUT_Electricity_CHP!J$1:J$10000)</f>
        <v>9.9864165756426875</v>
      </c>
    </row>
    <row r="52" spans="1:19" x14ac:dyDescent="0.35">
      <c r="A52" s="5" t="str">
        <f t="shared" si="3"/>
        <v>STEM</v>
      </c>
      <c r="B52" s="5" t="str">
        <f t="shared" si="12"/>
        <v>SPS4</v>
      </c>
      <c r="C52" s="5" t="str">
        <f t="shared" si="4"/>
        <v>CH</v>
      </c>
      <c r="D52" t="s">
        <v>22</v>
      </c>
      <c r="E52" t="s">
        <v>8</v>
      </c>
      <c r="F52" s="1" cm="1">
        <f t="array" ref="F52">SUMPRODUCT(([1]OUT_Electricity_CHP!$B$1:$B$10000="G-INTC-IMP00-de")*1,([1]OUT_Electricity_CHP!$C$1:$C$10000="Var_Fout")*1,ISNUMBER(SEARCH("ELC",[1]OUT_Electricity_CHP!$D$1:$D$10000))*1,[1]OUT_Electricity_CHP!E$1:E$10000)</f>
        <v>46.398478887005879</v>
      </c>
      <c r="G52" s="1" cm="1">
        <f t="array" ref="G52">SUMPRODUCT(([1]OUT_Electricity_CHP!$B$1:$B$10000="G-INTC-IMP00-de")*1,([1]OUT_Electricity_CHP!$C$1:$C$10000="Var_Fout")*1,ISNUMBER(SEARCH("ELC",[1]OUT_Electricity_CHP!$D$1:$D$10000))*1,[1]OUT_Electricity_CHP!F$1:F$10000)</f>
        <v>33.314640294422183</v>
      </c>
      <c r="H52" s="1" cm="1">
        <f t="array" ref="H52">SUMPRODUCT(([1]OUT_Electricity_CHP!$B$1:$B$10000="G-INTC-IMP00-de")*1,([1]OUT_Electricity_CHP!$C$1:$C$10000="Var_Fout")*1,ISNUMBER(SEARCH("ELC",[1]OUT_Electricity_CHP!$D$1:$D$10000))*1,[1]OUT_Electricity_CHP!G$1:G$10000)</f>
        <v>31.586498718089356</v>
      </c>
      <c r="I52" s="1" cm="1">
        <f t="array" ref="I52">SUMPRODUCT(([1]OUT_Electricity_CHP!$B$1:$B$10000="G-INTC-IMP00-de")*1,([1]OUT_Electricity_CHP!$C$1:$C$10000="Var_Fout")*1,ISNUMBER(SEARCH("ELC",[1]OUT_Electricity_CHP!$D$1:$D$10000))*1,[1]OUT_Electricity_CHP!H$1:H$10000)</f>
        <v>35.9275026828956</v>
      </c>
      <c r="J52" s="1" cm="1">
        <f t="array" ref="J52">SUMPRODUCT(([1]OUT_Electricity_CHP!$B$1:$B$10000="G-INTC-IMP00-de")*1,([1]OUT_Electricity_CHP!$C$1:$C$10000="Var_Fout")*1,ISNUMBER(SEARCH("ELC",[1]OUT_Electricity_CHP!$D$1:$D$10000))*1,[1]OUT_Electricity_CHP!I$1:I$10000)</f>
        <v>32.601357781870043</v>
      </c>
      <c r="K52" s="1" cm="1">
        <f t="array" ref="K52">SUMPRODUCT(([1]OUT_Electricity_CHP!$B$1:$B$10000="G-INTC-IMP00-de")*1,([1]OUT_Electricity_CHP!$C$1:$C$10000="Var_Fout")*1,ISNUMBER(SEARCH("ELC",[1]OUT_Electricity_CHP!$D$1:$D$10000))*1,[1]OUT_Electricity_CHP!J$1:J$10000)</f>
        <v>27.21930933392062</v>
      </c>
    </row>
    <row r="53" spans="1:19" x14ac:dyDescent="0.35">
      <c r="A53" s="5" t="str">
        <f t="shared" si="3"/>
        <v>STEM</v>
      </c>
      <c r="B53" s="5" t="str">
        <f t="shared" si="12"/>
        <v>SPS4</v>
      </c>
      <c r="C53" s="5" t="str">
        <f t="shared" si="4"/>
        <v>CH</v>
      </c>
      <c r="D53" t="s">
        <v>23</v>
      </c>
      <c r="E53" t="s">
        <v>8</v>
      </c>
      <c r="F53" s="1" cm="1">
        <f t="array" ref="F53">SUMPRODUCT(([1]OUT_Electricity_CHP!$B$1:$B$10000="G-INTC-IMP00-it")*1,([1]OUT_Electricity_CHP!$C$1:$C$10000="Var_Fout")*1,ISNUMBER(SEARCH("ELC",[1]OUT_Electricity_CHP!$D$1:$D$10000))*1,[1]OUT_Electricity_CHP!E$1:E$10000)</f>
        <v>6.7991009353552316</v>
      </c>
      <c r="G53" s="1" cm="1">
        <f t="array" ref="G53">SUMPRODUCT(([1]OUT_Electricity_CHP!$B$1:$B$10000="G-INTC-IMP00-it")*1,([1]OUT_Electricity_CHP!$C$1:$C$10000="Var_Fout")*1,ISNUMBER(SEARCH("ELC",[1]OUT_Electricity_CHP!$D$1:$D$10000))*1,[1]OUT_Electricity_CHP!F$1:F$10000)</f>
        <v>4.0183642745675248E-4</v>
      </c>
      <c r="H53" s="1" cm="1">
        <f t="array" ref="H53">SUMPRODUCT(([1]OUT_Electricity_CHP!$B$1:$B$10000="G-INTC-IMP00-it")*1,([1]OUT_Electricity_CHP!$C$1:$C$10000="Var_Fout")*1,ISNUMBER(SEARCH("ELC",[1]OUT_Electricity_CHP!$D$1:$D$10000))*1,[1]OUT_Electricity_CHP!G$1:G$10000)</f>
        <v>3.3175534906292856E-4</v>
      </c>
      <c r="I53" s="1" cm="1">
        <f t="array" ref="I53">SUMPRODUCT(([1]OUT_Electricity_CHP!$B$1:$B$10000="G-INTC-IMP00-it")*1,([1]OUT_Electricity_CHP!$C$1:$C$10000="Var_Fout")*1,ISNUMBER(SEARCH("ELC",[1]OUT_Electricity_CHP!$D$1:$D$10000))*1,[1]OUT_Electricity_CHP!H$1:H$10000)</f>
        <v>1.4664551566064736E-4</v>
      </c>
      <c r="J53" s="1" cm="1">
        <f t="array" ref="J53">SUMPRODUCT(([1]OUT_Electricity_CHP!$B$1:$B$10000="G-INTC-IMP00-it")*1,([1]OUT_Electricity_CHP!$C$1:$C$10000="Var_Fout")*1,ISNUMBER(SEARCH("ELC",[1]OUT_Electricity_CHP!$D$1:$D$10000))*1,[1]OUT_Electricity_CHP!I$1:I$10000)</f>
        <v>1.8731815769947017E-4</v>
      </c>
      <c r="K53" s="1" cm="1">
        <f t="array" ref="K53">SUMPRODUCT(([1]OUT_Electricity_CHP!$B$1:$B$10000="G-INTC-IMP00-it")*1,([1]OUT_Electricity_CHP!$C$1:$C$10000="Var_Fout")*1,ISNUMBER(SEARCH("ELC",[1]OUT_Electricity_CHP!$D$1:$D$10000))*1,[1]OUT_Electricity_CHP!J$1:J$10000)</f>
        <v>1.6850812357608604E-4</v>
      </c>
    </row>
    <row r="54" spans="1:19" x14ac:dyDescent="0.35">
      <c r="A54" s="5" t="str">
        <f t="shared" ref="A54" si="28">A53</f>
        <v>STEM</v>
      </c>
      <c r="B54" s="5" t="str">
        <f t="shared" si="12"/>
        <v>SPS4</v>
      </c>
      <c r="C54" s="5" t="str">
        <f t="shared" ref="C54" si="29">C53</f>
        <v>CH</v>
      </c>
      <c r="D54" t="s">
        <v>790</v>
      </c>
      <c r="E54" t="s">
        <v>8</v>
      </c>
      <c r="F54" s="1" cm="1">
        <f t="array" ref="F54">SUMPRODUCT(("h2"=[1]OUT_PrimaryEnergyCons!$C$4:$C$10000)*1,[1]OUT_PrimaryEnergyCons!D$4:D$10000)</f>
        <v>0</v>
      </c>
      <c r="G54" s="1" cm="1">
        <f t="array" ref="G54">SUMPRODUCT(("h2"=[1]OUT_PrimaryEnergyCons!$C$4:$C$10000)*1,[1]OUT_PrimaryEnergyCons!E$4:E$10000)</f>
        <v>0</v>
      </c>
      <c r="H54" s="1" cm="1">
        <f t="array" ref="H54">SUMPRODUCT(("h2"=[1]OUT_PrimaryEnergyCons!$C$4:$C$10000)*1,[1]OUT_PrimaryEnergyCons!F$4:F$10000)</f>
        <v>0</v>
      </c>
      <c r="I54" s="1" cm="1">
        <f t="array" ref="I54">SUMPRODUCT(("h2"=[1]OUT_PrimaryEnergyCons!$C$4:$C$10000)*1,[1]OUT_PrimaryEnergyCons!G$4:G$10000)</f>
        <v>0</v>
      </c>
      <c r="J54" s="1" cm="1">
        <f t="array" ref="J54">SUMPRODUCT(("h2"=[1]OUT_PrimaryEnergyCons!$C$4:$C$10000)*1,[1]OUT_PrimaryEnergyCons!H$4:H$10000)</f>
        <v>8.2844004006968862E-4</v>
      </c>
      <c r="K54" s="1" cm="1">
        <f t="array" ref="K54">SUMPRODUCT(("h2"=[1]OUT_PrimaryEnergyCons!$C$4:$C$10000)*1,[1]OUT_PrimaryEnergyCons!I$4:I$10000)</f>
        <v>8.3022205458255357E-4</v>
      </c>
    </row>
    <row r="55" spans="1:19" x14ac:dyDescent="0.35">
      <c r="A55" s="9" t="str">
        <f>A53</f>
        <v>STEM</v>
      </c>
      <c r="B55" s="9" t="str">
        <f t="shared" si="12"/>
        <v>SPS4</v>
      </c>
      <c r="C55" s="2" t="str">
        <f>C53</f>
        <v>CH</v>
      </c>
      <c r="D55" s="2" t="s">
        <v>24</v>
      </c>
      <c r="E55" s="2" t="s">
        <v>8</v>
      </c>
      <c r="F55" s="3">
        <f>F56</f>
        <v>117.17002187782433</v>
      </c>
      <c r="G55" s="3">
        <f t="shared" ref="G55:K55" si="30">G56</f>
        <v>35.470499090886037</v>
      </c>
      <c r="H55" s="3">
        <f t="shared" si="30"/>
        <v>54.785838250974138</v>
      </c>
      <c r="I55" s="3">
        <f t="shared" si="30"/>
        <v>55.659034536072774</v>
      </c>
      <c r="J55" s="3">
        <f t="shared" si="30"/>
        <v>19.695735739637048</v>
      </c>
      <c r="K55" s="3">
        <f t="shared" si="30"/>
        <v>14.136407423031608</v>
      </c>
      <c r="N55" s="1"/>
      <c r="O55" s="1"/>
      <c r="P55" s="1"/>
      <c r="Q55" s="1"/>
      <c r="R55" s="1"/>
      <c r="S55" s="1"/>
    </row>
    <row r="56" spans="1:19" x14ac:dyDescent="0.35">
      <c r="A56" s="5" t="str">
        <f>A55</f>
        <v>STEM</v>
      </c>
      <c r="B56" s="5" t="str">
        <f t="shared" si="12"/>
        <v>SPS4</v>
      </c>
      <c r="C56" s="5" t="str">
        <f t="shared" si="4"/>
        <v>CH</v>
      </c>
      <c r="D56" t="s">
        <v>791</v>
      </c>
      <c r="E56" t="str">
        <f>E55</f>
        <v>PJ/yr.</v>
      </c>
      <c r="F56" s="1">
        <f>SUM(F57:F60)</f>
        <v>117.17002187782433</v>
      </c>
      <c r="G56" s="1">
        <f t="shared" ref="G56:K56" si="31">SUM(G57:G60)</f>
        <v>35.470499090886037</v>
      </c>
      <c r="H56" s="1">
        <f t="shared" si="31"/>
        <v>54.785838250974138</v>
      </c>
      <c r="I56" s="1">
        <f t="shared" si="31"/>
        <v>55.659034536072774</v>
      </c>
      <c r="J56" s="1">
        <f t="shared" si="31"/>
        <v>19.695735739637048</v>
      </c>
      <c r="K56" s="1">
        <f t="shared" si="31"/>
        <v>14.136407423031608</v>
      </c>
      <c r="N56" s="1"/>
    </row>
    <row r="57" spans="1:19" x14ac:dyDescent="0.35">
      <c r="A57" s="5" t="str">
        <f t="shared" ref="A57:A61" si="32">A56</f>
        <v>STEM</v>
      </c>
      <c r="B57" s="5" t="str">
        <f t="shared" si="12"/>
        <v>SPS4</v>
      </c>
      <c r="C57" s="5" t="str">
        <f t="shared" si="4"/>
        <v>CH</v>
      </c>
      <c r="D57" t="s">
        <v>25</v>
      </c>
      <c r="E57" t="str">
        <f t="shared" ref="E57:E60" si="33">E56</f>
        <v>PJ/yr.</v>
      </c>
      <c r="F57" s="1" cm="1">
        <f t="array" ref="F57">SUMPRODUCT(([1]OUT_Electricity_CHP!$B$1:$B$10000="G-INTC-exp00-AT")*1,([1]OUT_Electricity_CHP!$C$1:$C$10000="Var_Fout")*1,ISNUMBER(SEARCH("ELC",[1]OUT_Electricity_CHP!$D$1:$D$10000))*1,[1]OUT_Electricity_CHP!E$1:E$10000)</f>
        <v>6.2295668534316757</v>
      </c>
      <c r="G57" s="1" cm="1">
        <f t="array" ref="G57">SUMPRODUCT(([1]OUT_Electricity_CHP!$B$1:$B$10000="G-INTC-exp00-AT")*1,([1]OUT_Electricity_CHP!$C$1:$C$10000="Var_Fout")*1,ISNUMBER(SEARCH("ELC",[1]OUT_Electricity_CHP!$D$1:$D$10000))*1,[1]OUT_Electricity_CHP!F$1:F$10000)</f>
        <v>6.3365133156349221E-4</v>
      </c>
      <c r="H57" s="1" cm="1">
        <f t="array" ref="H57">SUMPRODUCT(([1]OUT_Electricity_CHP!$B$1:$B$10000="G-INTC-exp00-AT")*1,([1]OUT_Electricity_CHP!$C$1:$C$10000="Var_Fout")*1,ISNUMBER(SEARCH("ELC",[1]OUT_Electricity_CHP!$D$1:$D$10000))*1,[1]OUT_Electricity_CHP!G$1:G$10000)</f>
        <v>8.4617894653832434E-4</v>
      </c>
      <c r="I57" s="1" cm="1">
        <f t="array" ref="I57">SUMPRODUCT(([1]OUT_Electricity_CHP!$B$1:$B$10000="G-INTC-exp00-AT")*1,([1]OUT_Electricity_CHP!$C$1:$C$10000="Var_Fout")*1,ISNUMBER(SEARCH("ELC",[1]OUT_Electricity_CHP!$D$1:$D$10000))*1,[1]OUT_Electricity_CHP!H$1:H$10000)</f>
        <v>1.4544914331047771E-4</v>
      </c>
      <c r="J57" s="1" cm="1">
        <f t="array" ref="J57">SUMPRODUCT(([1]OUT_Electricity_CHP!$B$1:$B$10000="G-INTC-exp00-AT")*1,([1]OUT_Electricity_CHP!$C$1:$C$10000="Var_Fout")*1,ISNUMBER(SEARCH("ELC",[1]OUT_Electricity_CHP!$D$1:$D$10000))*1,[1]OUT_Electricity_CHP!I$1:I$10000)</f>
        <v>1.9996919464519404E-4</v>
      </c>
      <c r="K57" s="1" cm="1">
        <f t="array" ref="K57">SUMPRODUCT(([1]OUT_Electricity_CHP!$B$1:$B$10000="G-INTC-exp00-AT")*1,([1]OUT_Electricity_CHP!$C$1:$C$10000="Var_Fout")*1,ISNUMBER(SEARCH("ELC",[1]OUT_Electricity_CHP!$D$1:$D$10000))*1,[1]OUT_Electricity_CHP!J$1:J$10000)</f>
        <v>1.3611769716607601E-4</v>
      </c>
    </row>
    <row r="58" spans="1:19" x14ac:dyDescent="0.35">
      <c r="A58" s="5" t="str">
        <f t="shared" si="32"/>
        <v>STEM</v>
      </c>
      <c r="B58" s="5" t="str">
        <f t="shared" si="12"/>
        <v>SPS4</v>
      </c>
      <c r="C58" s="5" t="str">
        <f t="shared" si="4"/>
        <v>CH</v>
      </c>
      <c r="D58" t="s">
        <v>26</v>
      </c>
      <c r="E58" t="str">
        <f t="shared" si="33"/>
        <v>PJ/yr.</v>
      </c>
      <c r="F58" s="1" cm="1">
        <f t="array" ref="F58">SUMPRODUCT(([1]OUT_Electricity_CHP!$B$1:$B$10000="G-INTC-exp00-fr")*1,([1]OUT_Electricity_CHP!$C$1:$C$10000="Var_Fout")*1,ISNUMBER(SEARCH("ELC",[1]OUT_Electricity_CHP!$D$1:$D$10000))*1,[1]OUT_Electricity_CHP!E$1:E$10000)</f>
        <v>12.753366739010422</v>
      </c>
      <c r="G58" s="1" cm="1">
        <f t="array" ref="G58">SUMPRODUCT(([1]OUT_Electricity_CHP!$B$1:$B$10000="G-INTC-exp00-fr")*1,([1]OUT_Electricity_CHP!$C$1:$C$10000="Var_Fout")*1,ISNUMBER(SEARCH("ELC",[1]OUT_Electricity_CHP!$D$1:$D$10000))*1,[1]OUT_Electricity_CHP!F$1:F$10000)</f>
        <v>5.6731250810467925E-4</v>
      </c>
      <c r="H58" s="1" cm="1">
        <f t="array" ref="H58">SUMPRODUCT(([1]OUT_Electricity_CHP!$B$1:$B$10000="G-INTC-exp00-fr")*1,([1]OUT_Electricity_CHP!$C$1:$C$10000="Var_Fout")*1,ISNUMBER(SEARCH("ELC",[1]OUT_Electricity_CHP!$D$1:$D$10000))*1,[1]OUT_Electricity_CHP!G$1:G$10000)</f>
        <v>5.1682333077293684E-4</v>
      </c>
      <c r="I58" s="1" cm="1">
        <f t="array" ref="I58">SUMPRODUCT(([1]OUT_Electricity_CHP!$B$1:$B$10000="G-INTC-exp00-fr")*1,([1]OUT_Electricity_CHP!$C$1:$C$10000="Var_Fout")*1,ISNUMBER(SEARCH("ELC",[1]OUT_Electricity_CHP!$D$1:$D$10000))*1,[1]OUT_Electricity_CHP!H$1:H$10000)</f>
        <v>2.5831675297700038E-4</v>
      </c>
      <c r="J58" s="1" cm="1">
        <f t="array" ref="J58">SUMPRODUCT(([1]OUT_Electricity_CHP!$B$1:$B$10000="G-INTC-exp00-fr")*1,([1]OUT_Electricity_CHP!$C$1:$C$10000="Var_Fout")*1,ISNUMBER(SEARCH("ELC",[1]OUT_Electricity_CHP!$D$1:$D$10000))*1,[1]OUT_Electricity_CHP!I$1:I$10000)</f>
        <v>1.5276926962981159E-3</v>
      </c>
      <c r="K58" s="1" cm="1">
        <f t="array" ref="K58">SUMPRODUCT(([1]OUT_Electricity_CHP!$B$1:$B$10000="G-INTC-exp00-fr")*1,([1]OUT_Electricity_CHP!$C$1:$C$10000="Var_Fout")*1,ISNUMBER(SEARCH("ELC",[1]OUT_Electricity_CHP!$D$1:$D$10000))*1,[1]OUT_Electricity_CHP!J$1:J$10000)</f>
        <v>8.5805561225242187E-4</v>
      </c>
    </row>
    <row r="59" spans="1:19" x14ac:dyDescent="0.35">
      <c r="A59" s="5" t="str">
        <f t="shared" si="32"/>
        <v>STEM</v>
      </c>
      <c r="B59" s="5" t="str">
        <f t="shared" si="12"/>
        <v>SPS4</v>
      </c>
      <c r="C59" s="5" t="str">
        <f t="shared" si="4"/>
        <v>CH</v>
      </c>
      <c r="D59" t="s">
        <v>27</v>
      </c>
      <c r="E59" t="str">
        <f t="shared" si="33"/>
        <v>PJ/yr.</v>
      </c>
      <c r="F59" s="1" cm="1">
        <f t="array" ref="F59">SUMPRODUCT(([1]OUT_Electricity_CHP!$B$1:$B$10000="G-INTC-exp00-de")*1,([1]OUT_Electricity_CHP!$C$1:$C$10000="Var_Fout")*1,ISNUMBER(SEARCH("ELC",[1]OUT_Electricity_CHP!$D$1:$D$10000))*1,[1]OUT_Electricity_CHP!E$1:E$10000)</f>
        <v>26.492980452767849</v>
      </c>
      <c r="G59" s="1" cm="1">
        <f t="array" ref="G59">SUMPRODUCT(([1]OUT_Electricity_CHP!$B$1:$B$10000="G-INTC-exp00-de")*1,([1]OUT_Electricity_CHP!$C$1:$C$10000="Var_Fout")*1,ISNUMBER(SEARCH("ELC",[1]OUT_Electricity_CHP!$D$1:$D$10000))*1,[1]OUT_Electricity_CHP!F$1:F$10000)</f>
        <v>4.2340776429941065E-4</v>
      </c>
      <c r="H59" s="1" cm="1">
        <f t="array" ref="H59">SUMPRODUCT(([1]OUT_Electricity_CHP!$B$1:$B$10000="G-INTC-exp00-de")*1,([1]OUT_Electricity_CHP!$C$1:$C$10000="Var_Fout")*1,ISNUMBER(SEARCH("ELC",[1]OUT_Electricity_CHP!$D$1:$D$10000))*1,[1]OUT_Electricity_CHP!G$1:G$10000)</f>
        <v>4.6212250265163487E-4</v>
      </c>
      <c r="I59" s="1" cm="1">
        <f t="array" ref="I59">SUMPRODUCT(([1]OUT_Electricity_CHP!$B$1:$B$10000="G-INTC-exp00-de")*1,([1]OUT_Electricity_CHP!$C$1:$C$10000="Var_Fout")*1,ISNUMBER(SEARCH("ELC",[1]OUT_Electricity_CHP!$D$1:$D$10000))*1,[1]OUT_Electricity_CHP!H$1:H$10000)</f>
        <v>3.3568140780620271E-4</v>
      </c>
      <c r="J59" s="1" cm="1">
        <f t="array" ref="J59">SUMPRODUCT(([1]OUT_Electricity_CHP!$B$1:$B$10000="G-INTC-exp00-de")*1,([1]OUT_Electricity_CHP!$C$1:$C$10000="Var_Fout")*1,ISNUMBER(SEARCH("ELC",[1]OUT_Electricity_CHP!$D$1:$D$10000))*1,[1]OUT_Electricity_CHP!I$1:I$10000)</f>
        <v>1.2126497578161797E-3</v>
      </c>
      <c r="K59" s="1" cm="1">
        <f t="array" ref="K59">SUMPRODUCT(([1]OUT_Electricity_CHP!$B$1:$B$10000="G-INTC-exp00-de")*1,([1]OUT_Electricity_CHP!$C$1:$C$10000="Var_Fout")*1,ISNUMBER(SEARCH("ELC",[1]OUT_Electricity_CHP!$D$1:$D$10000))*1,[1]OUT_Electricity_CHP!J$1:J$10000)</f>
        <v>3.4399906960396815E-4</v>
      </c>
    </row>
    <row r="60" spans="1:19" x14ac:dyDescent="0.35">
      <c r="A60" s="5" t="str">
        <f t="shared" si="32"/>
        <v>STEM</v>
      </c>
      <c r="B60" s="5" t="str">
        <f t="shared" si="12"/>
        <v>SPS4</v>
      </c>
      <c r="C60" s="5" t="str">
        <f t="shared" si="4"/>
        <v>CH</v>
      </c>
      <c r="D60" t="s">
        <v>28</v>
      </c>
      <c r="E60" t="str">
        <f t="shared" si="33"/>
        <v>PJ/yr.</v>
      </c>
      <c r="F60" s="1" cm="1">
        <f t="array" ref="F60">SUMPRODUCT(([1]OUT_Electricity_CHP!$B$1:$B$10000="G-INTC-exp00-it")*1,([1]OUT_Electricity_CHP!$C$1:$C$10000="Var_Fout")*1,ISNUMBER(SEARCH("ELC",[1]OUT_Electricity_CHP!$D$1:$D$10000))*1,[1]OUT_Electricity_CHP!E$1:E$10000)</f>
        <v>71.694107832614378</v>
      </c>
      <c r="G60" s="1" cm="1">
        <f t="array" ref="G60">SUMPRODUCT(([1]OUT_Electricity_CHP!$B$1:$B$10000="G-INTC-exp00-it")*1,([1]OUT_Electricity_CHP!$C$1:$C$10000="Var_Fout")*1,ISNUMBER(SEARCH("ELC",[1]OUT_Electricity_CHP!$D$1:$D$10000))*1,[1]OUT_Electricity_CHP!F$1:F$10000)</f>
        <v>35.46887471928207</v>
      </c>
      <c r="H60" s="1" cm="1">
        <f t="array" ref="H60">SUMPRODUCT(([1]OUT_Electricity_CHP!$B$1:$B$10000="G-INTC-exp00-it")*1,([1]OUT_Electricity_CHP!$C$1:$C$10000="Var_Fout")*1,ISNUMBER(SEARCH("ELC",[1]OUT_Electricity_CHP!$D$1:$D$10000))*1,[1]OUT_Electricity_CHP!G$1:G$10000)</f>
        <v>54.784013126194175</v>
      </c>
      <c r="I60" s="1" cm="1">
        <f t="array" ref="I60">SUMPRODUCT(([1]OUT_Electricity_CHP!$B$1:$B$10000="G-INTC-exp00-it")*1,([1]OUT_Electricity_CHP!$C$1:$C$10000="Var_Fout")*1,ISNUMBER(SEARCH("ELC",[1]OUT_Electricity_CHP!$D$1:$D$10000))*1,[1]OUT_Electricity_CHP!H$1:H$10000)</f>
        <v>55.658295088768682</v>
      </c>
      <c r="J60" s="1" cm="1">
        <f t="array" ref="J60">SUMPRODUCT(([1]OUT_Electricity_CHP!$B$1:$B$10000="G-INTC-exp00-it")*1,([1]OUT_Electricity_CHP!$C$1:$C$10000="Var_Fout")*1,ISNUMBER(SEARCH("ELC",[1]OUT_Electricity_CHP!$D$1:$D$10000))*1,[1]OUT_Electricity_CHP!I$1:I$10000)</f>
        <v>19.692795427988287</v>
      </c>
      <c r="K60" s="1" cm="1">
        <f t="array" ref="K60">SUMPRODUCT(([1]OUT_Electricity_CHP!$B$1:$B$10000="G-INTC-exp00-it")*1,([1]OUT_Electricity_CHP!$C$1:$C$10000="Var_Fout")*1,ISNUMBER(SEARCH("ELC",[1]OUT_Electricity_CHP!$D$1:$D$10000))*1,[1]OUT_Electricity_CHP!J$1:J$10000)</f>
        <v>14.135069250652586</v>
      </c>
    </row>
    <row r="61" spans="1:19" x14ac:dyDescent="0.35">
      <c r="A61" s="9" t="str">
        <f t="shared" si="32"/>
        <v>STEM</v>
      </c>
      <c r="B61" s="9" t="str">
        <f t="shared" si="12"/>
        <v>SPS4</v>
      </c>
      <c r="C61" s="2" t="str">
        <f t="shared" ref="C61:C62" si="34">C60</f>
        <v>CH</v>
      </c>
      <c r="D61" s="2" t="s">
        <v>29</v>
      </c>
      <c r="E61" s="2" t="s">
        <v>8</v>
      </c>
      <c r="F61" s="3">
        <f>SUM(F62,F64,F68,F80,F128,F149,F157,F159,F167,F171,F165)</f>
        <v>251.19554429349239</v>
      </c>
      <c r="G61" s="3">
        <f t="shared" ref="G61:K61" si="35">SUM(G62,G64,G72,G80,G128,G149,G157,G159,G167,G171,G165)</f>
        <v>229.30204242358082</v>
      </c>
      <c r="H61" s="3">
        <f t="shared" si="35"/>
        <v>276.97855974116811</v>
      </c>
      <c r="I61" s="3">
        <f t="shared" si="35"/>
        <v>263.63618010659178</v>
      </c>
      <c r="J61" s="3">
        <f t="shared" si="35"/>
        <v>252.47497082629442</v>
      </c>
      <c r="K61" s="3">
        <f t="shared" si="35"/>
        <v>253.42065968459582</v>
      </c>
    </row>
    <row r="62" spans="1:19" x14ac:dyDescent="0.35">
      <c r="A62" s="5" t="str">
        <f>A61</f>
        <v>STEM</v>
      </c>
      <c r="B62" s="5" t="str">
        <f t="shared" si="12"/>
        <v>SPS4</v>
      </c>
      <c r="C62" s="5" t="str">
        <f t="shared" si="34"/>
        <v>CH</v>
      </c>
      <c r="D62" t="s">
        <v>792</v>
      </c>
      <c r="E62" t="str">
        <f>E60</f>
        <v>PJ/yr.</v>
      </c>
      <c r="F62" s="1">
        <f>+F63</f>
        <v>82.760000384140142</v>
      </c>
      <c r="G62" s="1">
        <f t="shared" ref="G62:K62" si="36">+G63</f>
        <v>82.759982208110628</v>
      </c>
      <c r="H62" s="1">
        <f t="shared" si="36"/>
        <v>67.098566715187019</v>
      </c>
      <c r="I62" s="1">
        <f t="shared" si="36"/>
        <v>69.930793585620876</v>
      </c>
      <c r="J62" s="1">
        <f t="shared" si="36"/>
        <v>32.820812173468198</v>
      </c>
      <c r="K62" s="1">
        <f t="shared" si="36"/>
        <v>0</v>
      </c>
    </row>
    <row r="63" spans="1:19" x14ac:dyDescent="0.35">
      <c r="A63" s="5" t="str">
        <f t="shared" ref="A63:B147" si="37">A62</f>
        <v>STEM</v>
      </c>
      <c r="B63" s="5" t="str">
        <f t="shared" si="12"/>
        <v>SPS4</v>
      </c>
      <c r="C63" s="5" t="str">
        <f t="shared" ref="C63:C147" si="38">C62</f>
        <v>CH</v>
      </c>
      <c r="D63" t="s">
        <v>30</v>
      </c>
      <c r="E63" t="str">
        <f>E61</f>
        <v>PJ/yr.</v>
      </c>
      <c r="F63" s="1">
        <f>'[1]Electricity and CHPs'!B14</f>
        <v>82.760000384140142</v>
      </c>
      <c r="G63" s="1">
        <f>'[1]Electricity and CHPs'!C14</f>
        <v>82.759982208110628</v>
      </c>
      <c r="H63" s="1">
        <f>'[1]Electricity and CHPs'!D14</f>
        <v>67.098566715187019</v>
      </c>
      <c r="I63" s="1">
        <f>'[1]Electricity and CHPs'!E14</f>
        <v>69.930793585620876</v>
      </c>
      <c r="J63" s="1">
        <f>'[1]Electricity and CHPs'!F14</f>
        <v>32.820812173468198</v>
      </c>
      <c r="K63" s="1">
        <f>'[1]Electricity and CHPs'!G14</f>
        <v>0</v>
      </c>
    </row>
    <row r="64" spans="1:19" x14ac:dyDescent="0.35">
      <c r="A64" s="5" t="str">
        <f t="shared" si="37"/>
        <v>STEM</v>
      </c>
      <c r="B64" s="5" t="str">
        <f t="shared" si="12"/>
        <v>SPS4</v>
      </c>
      <c r="C64" s="5" t="str">
        <f t="shared" si="38"/>
        <v>CH</v>
      </c>
      <c r="D64" t="s">
        <v>793</v>
      </c>
      <c r="E64" t="str">
        <f>E63</f>
        <v>PJ/yr.</v>
      </c>
      <c r="F64" s="1">
        <f>SUM(F65:F67)</f>
        <v>146.22000313575404</v>
      </c>
      <c r="G64" s="1">
        <f t="shared" ref="G64:K64" si="39">SUM(G65:G67)</f>
        <v>121.59731450593442</v>
      </c>
      <c r="H64" s="1">
        <f t="shared" si="39"/>
        <v>168.93898829847151</v>
      </c>
      <c r="I64" s="1">
        <f t="shared" si="39"/>
        <v>147.33046524282472</v>
      </c>
      <c r="J64" s="1">
        <f t="shared" si="39"/>
        <v>147.54956280076814</v>
      </c>
      <c r="K64" s="1">
        <f t="shared" si="39"/>
        <v>147.73322984195624</v>
      </c>
    </row>
    <row r="65" spans="1:11" x14ac:dyDescent="0.35">
      <c r="A65" s="5" t="str">
        <f t="shared" si="37"/>
        <v>STEM</v>
      </c>
      <c r="B65" s="5" t="str">
        <f t="shared" si="12"/>
        <v>SPS4</v>
      </c>
      <c r="C65" s="5" t="str">
        <f t="shared" si="38"/>
        <v>CH</v>
      </c>
      <c r="D65" t="s">
        <v>31</v>
      </c>
      <c r="E65" t="str">
        <f>E63</f>
        <v>PJ/yr.</v>
      </c>
      <c r="F65" s="1">
        <f>'[1]Electricity and CHPs'!B15</f>
        <v>66.745680000010836</v>
      </c>
      <c r="G65" s="1">
        <f>'[1]Electricity and CHPs'!C15</f>
        <v>49.798802112454716</v>
      </c>
      <c r="H65" s="1">
        <f>'[1]Electricity and CHPs'!D15</f>
        <v>68.534387711104714</v>
      </c>
      <c r="I65" s="1">
        <f>'[1]Electricity and CHPs'!E15</f>
        <v>70.34291557821463</v>
      </c>
      <c r="J65" s="1">
        <f>'[1]Electricity and CHPs'!F15</f>
        <v>72.511307323161802</v>
      </c>
      <c r="K65" s="1">
        <f>'[1]Electricity and CHPs'!G15</f>
        <v>74.680995636390534</v>
      </c>
    </row>
    <row r="66" spans="1:11" x14ac:dyDescent="0.35">
      <c r="A66" s="5" t="str">
        <f t="shared" si="37"/>
        <v>STEM</v>
      </c>
      <c r="B66" s="5" t="str">
        <f t="shared" si="12"/>
        <v>SPS4</v>
      </c>
      <c r="C66" s="5" t="str">
        <f t="shared" si="38"/>
        <v>CH</v>
      </c>
      <c r="D66" t="s">
        <v>32</v>
      </c>
      <c r="E66" t="str">
        <f t="shared" ref="E66:E67" si="40">E65</f>
        <v>PJ/yr.</v>
      </c>
      <c r="F66" s="1">
        <f>'[1]Electricity and CHPs'!B16</f>
        <v>66.63240058493669</v>
      </c>
      <c r="G66" s="1">
        <f>'[1]Electricity and CHPs'!C16</f>
        <v>55.764004617408034</v>
      </c>
      <c r="H66" s="1">
        <f>'[1]Electricity and CHPs'!D16</f>
        <v>65.55096200066761</v>
      </c>
      <c r="I66" s="1">
        <f>'[1]Electricity and CHPs'!E16</f>
        <v>64.468038140082029</v>
      </c>
      <c r="J66" s="1">
        <f>'[1]Electricity and CHPs'!F16</f>
        <v>62.299668571129772</v>
      </c>
      <c r="K66" s="1">
        <f>'[1]Electricity and CHPs'!G16</f>
        <v>60.129976775260509</v>
      </c>
    </row>
    <row r="67" spans="1:11" x14ac:dyDescent="0.35">
      <c r="A67" s="5" t="str">
        <f t="shared" si="37"/>
        <v>STEM</v>
      </c>
      <c r="B67" s="5" t="str">
        <f t="shared" si="12"/>
        <v>SPS4</v>
      </c>
      <c r="C67" s="5" t="str">
        <f t="shared" si="38"/>
        <v>CH</v>
      </c>
      <c r="D67" t="s">
        <v>33</v>
      </c>
      <c r="E67" t="str">
        <f t="shared" si="40"/>
        <v>PJ/yr.</v>
      </c>
      <c r="F67" s="1">
        <f>'[1]Electricity and CHPs'!B17</f>
        <v>12.841922550806515</v>
      </c>
      <c r="G67" s="1">
        <f>'[1]Electricity and CHPs'!C17</f>
        <v>16.03450777607166</v>
      </c>
      <c r="H67" s="1">
        <f>'[1]Electricity and CHPs'!D17</f>
        <v>34.853638586699198</v>
      </c>
      <c r="I67" s="1">
        <f>'[1]Electricity and CHPs'!E17</f>
        <v>12.519511524528049</v>
      </c>
      <c r="J67" s="1">
        <f>'[1]Electricity and CHPs'!F17</f>
        <v>12.738586906476574</v>
      </c>
      <c r="K67" s="1">
        <f>'[1]Electricity and CHPs'!G17</f>
        <v>12.922257430305191</v>
      </c>
    </row>
    <row r="68" spans="1:11" x14ac:dyDescent="0.35">
      <c r="A68" s="5" t="str">
        <f>A59</f>
        <v>STEM</v>
      </c>
      <c r="B68" s="5" t="str">
        <f t="shared" si="12"/>
        <v>SPS4</v>
      </c>
      <c r="C68" s="5" t="str">
        <f>C59</f>
        <v>CH</v>
      </c>
      <c r="D68" t="s">
        <v>794</v>
      </c>
      <c r="E68" t="str">
        <f>E59</f>
        <v>PJ/yr.</v>
      </c>
      <c r="F68" s="1">
        <f>SUM(F69:F71)</f>
        <v>0.11192158977622876</v>
      </c>
      <c r="G68" s="1">
        <f t="shared" ref="G68" si="41">SUM(G69:G71)</f>
        <v>0.17153240971053457</v>
      </c>
      <c r="H68" s="1">
        <f t="shared" ref="H68" si="42">SUM(H69:H71)</f>
        <v>6.625856227459077E-3</v>
      </c>
      <c r="I68" s="1">
        <f t="shared" ref="I68" si="43">SUM(I69:I71)</f>
        <v>0.17154132624432986</v>
      </c>
      <c r="J68" s="1">
        <f t="shared" ref="J68" si="44">SUM(J69:J71)</f>
        <v>2.1018883579198806E-2</v>
      </c>
      <c r="K68" s="1">
        <f t="shared" ref="K68" si="45">SUM(K69:K71)</f>
        <v>0.17080353858730893</v>
      </c>
    </row>
    <row r="69" spans="1:11" x14ac:dyDescent="0.35">
      <c r="A69" s="5" t="str">
        <f>A68</f>
        <v>STEM</v>
      </c>
      <c r="B69" s="5" t="str">
        <f t="shared" si="12"/>
        <v>SPS4</v>
      </c>
      <c r="C69" s="5" t="str">
        <f>C68</f>
        <v>CH</v>
      </c>
      <c r="D69" t="s">
        <v>34</v>
      </c>
      <c r="E69" t="str">
        <f>E59</f>
        <v>PJ/yr.</v>
      </c>
      <c r="F69" s="1">
        <f>'[1]Electricity and CHPs'!B18</f>
        <v>3.9605256571199406E-2</v>
      </c>
      <c r="G69" s="1">
        <f>'[1]Electricity and CHPs'!C18</f>
        <v>9.9995788894033033E-5</v>
      </c>
      <c r="H69" s="1">
        <f>'[1]Electricity and CHPs'!D18</f>
        <v>2.9245202745594827E-3</v>
      </c>
      <c r="I69" s="1">
        <f>'[1]Electricity and CHPs'!E18</f>
        <v>4.931950502794723E-4</v>
      </c>
      <c r="J69" s="1">
        <f>'[1]Electricity and CHPs'!F18</f>
        <v>1.5392566065940336E-3</v>
      </c>
      <c r="K69" s="1">
        <f>'[1]Electricity and CHPs'!G18</f>
        <v>1.9306153477689323E-3</v>
      </c>
    </row>
    <row r="70" spans="1:11" x14ac:dyDescent="0.35">
      <c r="A70" s="5" t="str">
        <f t="shared" ref="A70:A71" si="46">A69</f>
        <v>STEM</v>
      </c>
      <c r="B70" s="5" t="str">
        <f t="shared" si="12"/>
        <v>SPS4</v>
      </c>
      <c r="C70" s="5" t="str">
        <f t="shared" ref="C70:C71" si="47">C69</f>
        <v>CH</v>
      </c>
      <c r="D70" t="s">
        <v>228</v>
      </c>
      <c r="E70" t="str">
        <f>E124</f>
        <v>PJ/yr.</v>
      </c>
      <c r="F70" s="1">
        <f>'[1]Electricity and CHPs'!B28</f>
        <v>1.8044911880619656E-3</v>
      </c>
      <c r="G70" s="1">
        <f>'[1]Electricity and CHPs'!C28</f>
        <v>7.1584981419488305E-5</v>
      </c>
      <c r="H70" s="1">
        <f>'[1]Electricity and CHPs'!D28</f>
        <v>8.9723076536803723E-4</v>
      </c>
      <c r="I70" s="1">
        <f>'[1]Electricity and CHPs'!E28</f>
        <v>2.7224373817652319E-4</v>
      </c>
      <c r="J70" s="1">
        <f>'[1]Electricity and CHPs'!F28</f>
        <v>5.4843330195919124E-4</v>
      </c>
      <c r="K70" s="1">
        <f>'[1]Electricity and CHPs'!G28</f>
        <v>3.2889646327821155E-4</v>
      </c>
    </row>
    <row r="71" spans="1:11" x14ac:dyDescent="0.35">
      <c r="A71" s="5" t="str">
        <f t="shared" si="46"/>
        <v>STEM</v>
      </c>
      <c r="B71" s="5" t="str">
        <f t="shared" si="12"/>
        <v>SPS4</v>
      </c>
      <c r="C71" s="5" t="str">
        <f t="shared" si="47"/>
        <v>CH</v>
      </c>
      <c r="D71" t="s">
        <v>40</v>
      </c>
      <c r="E71" t="str">
        <f>E79</f>
        <v>PJ/yr.</v>
      </c>
      <c r="F71" s="1">
        <f>'[1]Electricity and CHPs'!B41</f>
        <v>7.0511842016967391E-2</v>
      </c>
      <c r="G71" s="1">
        <f>'[1]Electricity and CHPs'!C41</f>
        <v>0.17136082894022106</v>
      </c>
      <c r="H71" s="1">
        <f>'[1]Electricity and CHPs'!D41</f>
        <v>2.8041051875315566E-3</v>
      </c>
      <c r="I71" s="1">
        <f>'[1]Electricity and CHPs'!E41</f>
        <v>0.17077588745587385</v>
      </c>
      <c r="J71" s="1">
        <f>'[1]Electricity and CHPs'!F41</f>
        <v>1.893119367064558E-2</v>
      </c>
      <c r="K71" s="1">
        <f>'[1]Electricity and CHPs'!G41</f>
        <v>0.16854402677626179</v>
      </c>
    </row>
    <row r="72" spans="1:11" x14ac:dyDescent="0.35">
      <c r="A72" s="5" t="str">
        <f>A67</f>
        <v>STEM</v>
      </c>
      <c r="B72" s="5" t="str">
        <f t="shared" si="12"/>
        <v>SPS4</v>
      </c>
      <c r="C72" s="5" t="str">
        <f>C67</f>
        <v>CH</v>
      </c>
      <c r="D72" t="s">
        <v>795</v>
      </c>
      <c r="E72" t="str">
        <f>E67</f>
        <v>PJ/yr.</v>
      </c>
      <c r="F72" s="1">
        <f>SUM(F73:F75)</f>
        <v>0.11192158977622876</v>
      </c>
      <c r="G72" s="1">
        <f t="shared" ref="G72:K72" si="48">SUM(G73:G75)</f>
        <v>0.17153240971053457</v>
      </c>
      <c r="H72" s="1">
        <f t="shared" si="48"/>
        <v>6.625856227459077E-3</v>
      </c>
      <c r="I72" s="1">
        <f t="shared" si="48"/>
        <v>0.17154132624432986</v>
      </c>
      <c r="J72" s="1">
        <f t="shared" si="48"/>
        <v>2.1018883579198806E-2</v>
      </c>
      <c r="K72" s="1">
        <f t="shared" si="48"/>
        <v>0.17080353858730893</v>
      </c>
    </row>
    <row r="73" spans="1:11" x14ac:dyDescent="0.35">
      <c r="A73" s="5" t="str">
        <f>A72</f>
        <v>STEM</v>
      </c>
      <c r="B73" s="5" t="str">
        <f t="shared" si="12"/>
        <v>SPS4</v>
      </c>
      <c r="C73" s="5" t="str">
        <f>C72</f>
        <v>CH</v>
      </c>
      <c r="D73" t="s">
        <v>514</v>
      </c>
      <c r="E73" t="str">
        <f>E67</f>
        <v>PJ/yr.</v>
      </c>
      <c r="F73" s="1">
        <f>F69</f>
        <v>3.9605256571199406E-2</v>
      </c>
      <c r="G73" s="1">
        <f t="shared" ref="G73:K73" si="49">G69</f>
        <v>9.9995788894033033E-5</v>
      </c>
      <c r="H73" s="1">
        <f t="shared" si="49"/>
        <v>2.9245202745594827E-3</v>
      </c>
      <c r="I73" s="1">
        <f t="shared" si="49"/>
        <v>4.931950502794723E-4</v>
      </c>
      <c r="J73" s="1">
        <f t="shared" si="49"/>
        <v>1.5392566065940336E-3</v>
      </c>
      <c r="K73" s="1">
        <f t="shared" si="49"/>
        <v>1.9306153477689323E-3</v>
      </c>
    </row>
    <row r="74" spans="1:11" x14ac:dyDescent="0.35">
      <c r="A74" s="5" t="str">
        <f t="shared" si="37"/>
        <v>STEM</v>
      </c>
      <c r="B74" s="5" t="str">
        <f t="shared" si="12"/>
        <v>SPS4</v>
      </c>
      <c r="C74" s="5" t="str">
        <f t="shared" si="38"/>
        <v>CH</v>
      </c>
      <c r="D74" t="s">
        <v>515</v>
      </c>
      <c r="E74" t="str">
        <f>E132</f>
        <v>PJ/yr.</v>
      </c>
      <c r="F74" s="1">
        <f>'[1]Electricity and CHPs'!B28</f>
        <v>1.8044911880619656E-3</v>
      </c>
      <c r="G74" s="1">
        <f>'[1]Electricity and CHPs'!C28</f>
        <v>7.1584981419488305E-5</v>
      </c>
      <c r="H74" s="1">
        <f>'[1]Electricity and CHPs'!D28</f>
        <v>8.9723076536803723E-4</v>
      </c>
      <c r="I74" s="1">
        <f>'[1]Electricity and CHPs'!E28</f>
        <v>2.7224373817652319E-4</v>
      </c>
      <c r="J74" s="1">
        <f>'[1]Electricity and CHPs'!F28</f>
        <v>5.4843330195919124E-4</v>
      </c>
      <c r="K74" s="1">
        <f>'[1]Electricity and CHPs'!G28</f>
        <v>3.2889646327821155E-4</v>
      </c>
    </row>
    <row r="75" spans="1:11" x14ac:dyDescent="0.35">
      <c r="A75" s="5" t="str">
        <f t="shared" si="37"/>
        <v>STEM</v>
      </c>
      <c r="B75" s="5" t="str">
        <f t="shared" si="12"/>
        <v>SPS4</v>
      </c>
      <c r="C75" s="5" t="str">
        <f t="shared" si="38"/>
        <v>CH</v>
      </c>
      <c r="D75" t="s">
        <v>516</v>
      </c>
      <c r="E75" t="str">
        <f>E87</f>
        <v>PJ/yr.</v>
      </c>
      <c r="F75" s="1">
        <f>'[1]Electricity and CHPs'!B41</f>
        <v>7.0511842016967391E-2</v>
      </c>
      <c r="G75" s="1">
        <f>'[1]Electricity and CHPs'!C41</f>
        <v>0.17136082894022106</v>
      </c>
      <c r="H75" s="1">
        <f>'[1]Electricity and CHPs'!D41</f>
        <v>2.8041051875315566E-3</v>
      </c>
      <c r="I75" s="1">
        <f>'[1]Electricity and CHPs'!E41</f>
        <v>0.17077588745587385</v>
      </c>
      <c r="J75" s="1">
        <f>'[1]Electricity and CHPs'!F41</f>
        <v>1.893119367064558E-2</v>
      </c>
      <c r="K75" s="1">
        <f>'[1]Electricity and CHPs'!G41</f>
        <v>0.16854402677626179</v>
      </c>
    </row>
    <row r="76" spans="1:11" x14ac:dyDescent="0.35">
      <c r="A76" s="5" t="str">
        <f t="shared" ref="A76:C77" si="50">A74</f>
        <v>STEM</v>
      </c>
      <c r="B76" s="5" t="str">
        <f t="shared" si="12"/>
        <v>SPS4</v>
      </c>
      <c r="C76" s="5" t="str">
        <f t="shared" si="50"/>
        <v>CH</v>
      </c>
      <c r="D76" t="s">
        <v>796</v>
      </c>
      <c r="E76" t="str">
        <f>E73</f>
        <v>PJ/yr.</v>
      </c>
      <c r="F76" s="1">
        <f>SUM(F77:F79)</f>
        <v>0</v>
      </c>
      <c r="G76" s="1">
        <f t="shared" ref="G76:K76" si="51">SUM(G77:G79)</f>
        <v>0</v>
      </c>
      <c r="H76" s="1">
        <f t="shared" si="51"/>
        <v>0</v>
      </c>
      <c r="I76" s="1">
        <f t="shared" si="51"/>
        <v>0</v>
      </c>
      <c r="J76" s="1">
        <f t="shared" si="51"/>
        <v>0</v>
      </c>
      <c r="K76" s="1">
        <f t="shared" si="51"/>
        <v>0</v>
      </c>
    </row>
    <row r="77" spans="1:11" x14ac:dyDescent="0.35">
      <c r="A77" s="5" t="str">
        <f t="shared" si="50"/>
        <v>STEM</v>
      </c>
      <c r="B77" s="5" t="str">
        <f t="shared" si="12"/>
        <v>SPS4</v>
      </c>
      <c r="C77" s="5" t="str">
        <f t="shared" si="50"/>
        <v>CH</v>
      </c>
      <c r="D77" t="s">
        <v>538</v>
      </c>
      <c r="E77" t="str">
        <f>E74</f>
        <v>PJ/yr.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</row>
    <row r="78" spans="1:11" x14ac:dyDescent="0.35">
      <c r="A78" s="5" t="str">
        <f t="shared" si="37"/>
        <v>STEM</v>
      </c>
      <c r="B78" s="5" t="str">
        <f t="shared" si="12"/>
        <v>SPS4</v>
      </c>
      <c r="C78" s="5" t="str">
        <f t="shared" si="38"/>
        <v>CH</v>
      </c>
      <c r="D78" t="s">
        <v>539</v>
      </c>
      <c r="E78" t="str">
        <f>E135</f>
        <v>PJ/yr.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</row>
    <row r="79" spans="1:11" x14ac:dyDescent="0.35">
      <c r="A79" s="5" t="str">
        <f t="shared" si="37"/>
        <v>STEM</v>
      </c>
      <c r="B79" s="5" t="str">
        <f t="shared" si="12"/>
        <v>SPS4</v>
      </c>
      <c r="C79" s="5" t="str">
        <f t="shared" si="38"/>
        <v>CH</v>
      </c>
      <c r="D79" t="s">
        <v>540</v>
      </c>
      <c r="E79" t="str">
        <f>E90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 x14ac:dyDescent="0.35">
      <c r="A80" s="5" t="str">
        <f t="shared" si="37"/>
        <v>STEM</v>
      </c>
      <c r="B80" s="5" t="str">
        <f t="shared" si="12"/>
        <v>SPS4</v>
      </c>
      <c r="C80" s="5" t="str">
        <f t="shared" si="38"/>
        <v>CH</v>
      </c>
      <c r="D80" t="s">
        <v>797</v>
      </c>
      <c r="E80" t="str">
        <f>E129</f>
        <v>PJ/yr.</v>
      </c>
      <c r="F80" s="1">
        <f>SUM(F81:F95)</f>
        <v>3.232028902897166</v>
      </c>
      <c r="G80" s="1">
        <f t="shared" ref="G80:K80" si="52">SUM(G81:G95)</f>
        <v>1.8275929114565705</v>
      </c>
      <c r="H80" s="1">
        <f t="shared" si="52"/>
        <v>1.1996544141915222</v>
      </c>
      <c r="I80" s="1">
        <f t="shared" si="52"/>
        <v>2.2184303580810991</v>
      </c>
      <c r="J80" s="1">
        <f t="shared" si="52"/>
        <v>5.8744945664035431</v>
      </c>
      <c r="K80" s="1">
        <f t="shared" si="52"/>
        <v>20.424570812779034</v>
      </c>
    </row>
    <row r="81" spans="1:11" x14ac:dyDescent="0.35">
      <c r="A81" s="5" t="str">
        <f t="shared" si="37"/>
        <v>STEM</v>
      </c>
      <c r="B81" s="5" t="str">
        <f t="shared" si="12"/>
        <v>SPS4</v>
      </c>
      <c r="C81" s="5" t="str">
        <f t="shared" si="38"/>
        <v>CH</v>
      </c>
      <c r="D81" t="s">
        <v>35</v>
      </c>
      <c r="E81" t="str">
        <f>E130</f>
        <v>PJ/yr.</v>
      </c>
      <c r="F81" s="1">
        <f>'[1]Electricity and CHPs'!B21</f>
        <v>0</v>
      </c>
      <c r="G81" s="1">
        <f>'[1]Electricity and CHPs'!C21</f>
        <v>0</v>
      </c>
      <c r="H81" s="1">
        <f>'[1]Electricity and CHPs'!D21</f>
        <v>0</v>
      </c>
      <c r="I81" s="1">
        <f>'[1]Electricity and CHPs'!E21</f>
        <v>0</v>
      </c>
      <c r="J81" s="1">
        <f>'[1]Electricity and CHPs'!F21</f>
        <v>4.6295950749269038E-2</v>
      </c>
      <c r="K81" s="1">
        <f>'[1]Electricity and CHPs'!G21</f>
        <v>5.8785784535271244</v>
      </c>
    </row>
    <row r="82" spans="1:11" x14ac:dyDescent="0.35">
      <c r="A82" s="5" t="str">
        <f t="shared" si="37"/>
        <v>STEM</v>
      </c>
      <c r="B82" s="5" t="str">
        <f t="shared" si="12"/>
        <v>SPS4</v>
      </c>
      <c r="C82" s="5" t="str">
        <f t="shared" si="38"/>
        <v>CH</v>
      </c>
      <c r="D82" t="s">
        <v>36</v>
      </c>
      <c r="E82" t="str">
        <f>E81</f>
        <v>PJ/yr.</v>
      </c>
      <c r="F82" s="1">
        <f>'[1]Electricity and CHPs'!B22</f>
        <v>0</v>
      </c>
      <c r="G82" s="1">
        <f>'[1]Electricity and CHPs'!C22</f>
        <v>0</v>
      </c>
      <c r="H82" s="1">
        <f>'[1]Electricity and CHPs'!D22</f>
        <v>0</v>
      </c>
      <c r="I82" s="1">
        <f>'[1]Electricity and CHPs'!E22</f>
        <v>0</v>
      </c>
      <c r="J82" s="1">
        <f>'[1]Electricity and CHPs'!F22</f>
        <v>1.04765459983858E-2</v>
      </c>
      <c r="K82" s="1">
        <f>'[1]Electricity and CHPs'!G22</f>
        <v>4.0265372231909945E-3</v>
      </c>
    </row>
    <row r="83" spans="1:11" x14ac:dyDescent="0.35">
      <c r="A83" s="5" t="str">
        <f t="shared" si="37"/>
        <v>STEM</v>
      </c>
      <c r="B83" s="5" t="str">
        <f t="shared" si="12"/>
        <v>SPS4</v>
      </c>
      <c r="C83" s="5" t="str">
        <f t="shared" si="38"/>
        <v>CH</v>
      </c>
      <c r="D83" t="s">
        <v>37</v>
      </c>
      <c r="E83" t="str">
        <f>E82</f>
        <v>PJ/yr.</v>
      </c>
      <c r="F83" s="1">
        <f>'[1]Electricity and CHPs'!B23</f>
        <v>0</v>
      </c>
      <c r="G83" s="1">
        <f>'[1]Electricity and CHPs'!C23</f>
        <v>0</v>
      </c>
      <c r="H83" s="1">
        <f>'[1]Electricity and CHPs'!D23</f>
        <v>0</v>
      </c>
      <c r="I83" s="1">
        <f>'[1]Electricity and CHPs'!E23</f>
        <v>0</v>
      </c>
      <c r="J83" s="1">
        <f>'[1]Electricity and CHPs'!F23</f>
        <v>0</v>
      </c>
      <c r="K83" s="1">
        <f>'[1]Electricity and CHPs'!G23</f>
        <v>0</v>
      </c>
    </row>
    <row r="84" spans="1:11" x14ac:dyDescent="0.35">
      <c r="A84" s="5" t="str">
        <f t="shared" si="37"/>
        <v>STEM</v>
      </c>
      <c r="B84" s="5" t="str">
        <f t="shared" si="12"/>
        <v>SPS4</v>
      </c>
      <c r="C84" s="5" t="str">
        <f t="shared" si="38"/>
        <v>CH</v>
      </c>
      <c r="D84" t="s">
        <v>38</v>
      </c>
      <c r="E84" t="str">
        <f>E83</f>
        <v>PJ/yr.</v>
      </c>
      <c r="F84" s="1">
        <f>'[1]Electricity and CHPs'!B24</f>
        <v>0.96588432301512239</v>
      </c>
      <c r="G84" s="1">
        <f>'[1]Electricity and CHPs'!C24</f>
        <v>4.9159196224799525E-4</v>
      </c>
      <c r="H84" s="1">
        <f>'[1]Electricity and CHPs'!D24</f>
        <v>2.2458114808337638E-3</v>
      </c>
      <c r="I84" s="1">
        <f>'[1]Electricity and CHPs'!E24</f>
        <v>3.0267098597734103E-3</v>
      </c>
      <c r="J84" s="1">
        <f>'[1]Electricity and CHPs'!F24</f>
        <v>0.47291117227983281</v>
      </c>
      <c r="K84" s="1">
        <f>'[1]Electricity and CHPs'!G24</f>
        <v>0.94445611531668761</v>
      </c>
    </row>
    <row r="85" spans="1:11" x14ac:dyDescent="0.35">
      <c r="A85" s="5" t="str">
        <f t="shared" si="37"/>
        <v>STEM</v>
      </c>
      <c r="B85" s="5" t="str">
        <f t="shared" si="12"/>
        <v>SPS4</v>
      </c>
      <c r="C85" s="5" t="str">
        <f t="shared" si="38"/>
        <v>CH</v>
      </c>
      <c r="D85" t="s">
        <v>39</v>
      </c>
      <c r="E85" t="str">
        <f>E74</f>
        <v>PJ/yr.</v>
      </c>
      <c r="F85" s="1">
        <f>'[1]Electricity and CHPs'!B29</f>
        <v>0</v>
      </c>
      <c r="G85" s="1">
        <f>'[1]Electricity and CHPs'!C29</f>
        <v>0</v>
      </c>
      <c r="H85" s="1">
        <f>'[1]Electricity and CHPs'!D29</f>
        <v>0</v>
      </c>
      <c r="I85" s="1">
        <f>'[1]Electricity and CHPs'!E29</f>
        <v>0</v>
      </c>
      <c r="J85" s="1">
        <f>'[1]Electricity and CHPs'!F29</f>
        <v>0.41564401414132779</v>
      </c>
      <c r="K85" s="1">
        <f>'[1]Electricity and CHPs'!G29</f>
        <v>2.1038710448974656</v>
      </c>
    </row>
    <row r="86" spans="1:11" x14ac:dyDescent="0.35">
      <c r="A86" s="5" t="str">
        <f t="shared" si="37"/>
        <v>STEM</v>
      </c>
      <c r="B86" s="5" t="str">
        <f t="shared" si="12"/>
        <v>SPS4</v>
      </c>
      <c r="C86" s="5" t="str">
        <f t="shared" si="38"/>
        <v>CH</v>
      </c>
      <c r="D86" t="s">
        <v>41</v>
      </c>
      <c r="E86" t="str">
        <f>E164</f>
        <v>PJ/yr.</v>
      </c>
      <c r="F86" s="1">
        <f>'[1]Electricity and CHPs'!B39</f>
        <v>0.66998788476074311</v>
      </c>
      <c r="G86" s="1">
        <f>'[1]Electricity and CHPs'!C39</f>
        <v>9.0401920171345143E-2</v>
      </c>
      <c r="H86" s="1">
        <f>'[1]Electricity and CHPs'!D39</f>
        <v>6.4727424723071594E-2</v>
      </c>
      <c r="I86" s="1">
        <f>'[1]Electricity and CHPs'!E39</f>
        <v>0.41487864197067348</v>
      </c>
      <c r="J86" s="1">
        <f>'[1]Electricity and CHPs'!F39</f>
        <v>5.9050314483615834E-2</v>
      </c>
      <c r="K86" s="1">
        <f>'[1]Electricity and CHPs'!G39</f>
        <v>1.2759454390333283E-2</v>
      </c>
    </row>
    <row r="87" spans="1:11" x14ac:dyDescent="0.35">
      <c r="A87" s="5" t="str">
        <f t="shared" si="37"/>
        <v>STEM</v>
      </c>
      <c r="B87" s="5" t="str">
        <f t="shared" si="12"/>
        <v>SPS4</v>
      </c>
      <c r="C87" s="5" t="str">
        <f t="shared" si="38"/>
        <v>CH</v>
      </c>
      <c r="D87" t="s">
        <v>42</v>
      </c>
      <c r="E87" t="str">
        <f>E86</f>
        <v>PJ/yr.</v>
      </c>
      <c r="F87" s="1">
        <f>'[1]Electricity and CHPs'!B40</f>
        <v>0</v>
      </c>
      <c r="G87" s="1">
        <f>'[1]Electricity and CHPs'!C40</f>
        <v>0</v>
      </c>
      <c r="H87" s="1">
        <f>'[1]Electricity and CHPs'!D40</f>
        <v>0</v>
      </c>
      <c r="I87" s="1">
        <f>'[1]Electricity and CHPs'!E40</f>
        <v>0</v>
      </c>
      <c r="J87" s="1">
        <f>'[1]Electricity and CHPs'!F40</f>
        <v>0</v>
      </c>
      <c r="K87" s="1">
        <f>'[1]Electricity and CHPs'!G40</f>
        <v>0</v>
      </c>
    </row>
    <row r="88" spans="1:11" x14ac:dyDescent="0.35">
      <c r="A88" s="5" t="str">
        <f t="shared" si="37"/>
        <v>STEM</v>
      </c>
      <c r="B88" s="5" t="str">
        <f t="shared" si="37"/>
        <v>SPS4</v>
      </c>
      <c r="C88" s="5" t="str">
        <f t="shared" si="38"/>
        <v>CH</v>
      </c>
      <c r="D88" t="s">
        <v>43</v>
      </c>
      <c r="E88" t="str">
        <f>E169</f>
        <v>PJ/yr.</v>
      </c>
      <c r="F88" s="1">
        <f>'[1]Electricity and CHPs'!B47</f>
        <v>0</v>
      </c>
      <c r="G88" s="1">
        <f>'[1]Electricity and CHPs'!C47</f>
        <v>0</v>
      </c>
      <c r="H88" s="1">
        <f>'[1]Electricity and CHPs'!D47</f>
        <v>0</v>
      </c>
      <c r="I88" s="1">
        <f>'[1]Electricity and CHPs'!E47</f>
        <v>5.8256590326260442E-4</v>
      </c>
      <c r="J88" s="1">
        <f>'[1]Electricity and CHPs'!F47</f>
        <v>2.9930060515069717E-3</v>
      </c>
      <c r="K88" s="1">
        <f>'[1]Electricity and CHPs'!G47</f>
        <v>2.4630670451596727E-3</v>
      </c>
    </row>
    <row r="89" spans="1:11" x14ac:dyDescent="0.35">
      <c r="A89" s="5" t="str">
        <f t="shared" si="37"/>
        <v>STEM</v>
      </c>
      <c r="B89" s="5" t="str">
        <f t="shared" si="37"/>
        <v>SPS4</v>
      </c>
      <c r="C89" s="5" t="str">
        <f t="shared" si="38"/>
        <v>CH</v>
      </c>
      <c r="D89" t="s">
        <v>44</v>
      </c>
      <c r="E89" t="str">
        <f>E88</f>
        <v>PJ/yr.</v>
      </c>
      <c r="F89" s="1">
        <f>'[1]Electricity and CHPs'!B48</f>
        <v>1.4276160604853689E-2</v>
      </c>
      <c r="G89" s="1">
        <f>'[1]Electricity and CHPs'!C48</f>
        <v>2.3507487523366875E-3</v>
      </c>
      <c r="H89" s="1">
        <f>'[1]Electricity and CHPs'!D48</f>
        <v>4.018589791342066E-3</v>
      </c>
      <c r="I89" s="1">
        <f>'[1]Electricity and CHPs'!E48</f>
        <v>7.3356372212671963E-3</v>
      </c>
      <c r="J89" s="1">
        <f>'[1]Electricity and CHPs'!F48</f>
        <v>3.8509155973962921E-3</v>
      </c>
      <c r="K89" s="1">
        <f>'[1]Electricity and CHPs'!G48</f>
        <v>2.134562482879211E-3</v>
      </c>
    </row>
    <row r="90" spans="1:11" x14ac:dyDescent="0.35">
      <c r="A90" s="5" t="str">
        <f t="shared" si="37"/>
        <v>STEM</v>
      </c>
      <c r="B90" s="5" t="str">
        <f t="shared" si="37"/>
        <v>SPS4</v>
      </c>
      <c r="C90" s="5" t="str">
        <f t="shared" si="38"/>
        <v>CH</v>
      </c>
      <c r="D90" t="s">
        <v>45</v>
      </c>
      <c r="E90" t="str">
        <f>E89</f>
        <v>PJ/yr.</v>
      </c>
      <c r="F90" s="1">
        <f>'[1]Electricity and CHPs'!B49</f>
        <v>0</v>
      </c>
      <c r="G90" s="1">
        <f>'[1]Electricity and CHPs'!C49</f>
        <v>0</v>
      </c>
      <c r="H90" s="1">
        <f>'[1]Electricity and CHPs'!D49</f>
        <v>0</v>
      </c>
      <c r="I90" s="1">
        <f>'[1]Electricity and CHPs'!E49</f>
        <v>2.3582201955204426E-4</v>
      </c>
      <c r="J90" s="1">
        <f>'[1]Electricity and CHPs'!F49</f>
        <v>7.739873315117361E-4</v>
      </c>
      <c r="K90" s="1">
        <f>'[1]Electricity and CHPs'!G49</f>
        <v>7.1728875858794935E-4</v>
      </c>
    </row>
    <row r="91" spans="1:11" x14ac:dyDescent="0.35">
      <c r="A91" s="5" t="str">
        <f t="shared" si="37"/>
        <v>STEM</v>
      </c>
      <c r="B91" s="5" t="str">
        <f t="shared" si="37"/>
        <v>SPS4</v>
      </c>
      <c r="C91" s="5" t="str">
        <f t="shared" si="38"/>
        <v>CH</v>
      </c>
      <c r="D91" t="s">
        <v>46</v>
      </c>
      <c r="E91" t="str">
        <f>E154</f>
        <v>PJ/yr.</v>
      </c>
      <c r="F91" s="1">
        <f>'[1]Electricity and CHPs'!B51</f>
        <v>2.8088144027891546E-2</v>
      </c>
      <c r="G91" s="1">
        <f>'[1]Electricity and CHPs'!C51</f>
        <v>2.4981099776036448E-3</v>
      </c>
      <c r="H91" s="1">
        <f>'[1]Electricity and CHPs'!D51</f>
        <v>6.3695401261430924E-3</v>
      </c>
      <c r="I91" s="1">
        <f>'[1]Electricity and CHPs'!E51</f>
        <v>0.66840820406168189</v>
      </c>
      <c r="J91" s="1">
        <f>'[1]Electricity and CHPs'!F51</f>
        <v>3.7159664540676012</v>
      </c>
      <c r="K91" s="1">
        <f>'[1]Electricity and CHPs'!G51</f>
        <v>3.1169759271436233</v>
      </c>
    </row>
    <row r="92" spans="1:11" x14ac:dyDescent="0.35">
      <c r="A92" s="5" t="str">
        <f t="shared" si="37"/>
        <v>STEM</v>
      </c>
      <c r="B92" s="5" t="str">
        <f t="shared" si="37"/>
        <v>SPS4</v>
      </c>
      <c r="C92" s="5" t="str">
        <f t="shared" si="38"/>
        <v>CH</v>
      </c>
      <c r="D92" t="s">
        <v>47</v>
      </c>
      <c r="E92" t="str">
        <f>E91</f>
        <v>PJ/yr.</v>
      </c>
      <c r="F92" s="1">
        <f>'[1]Electricity and CHPs'!B52</f>
        <v>0</v>
      </c>
      <c r="G92" s="1">
        <f>'[1]Electricity and CHPs'!C52</f>
        <v>0</v>
      </c>
      <c r="H92" s="1">
        <f>'[1]Electricity and CHPs'!D52</f>
        <v>0</v>
      </c>
      <c r="I92" s="1">
        <f>'[1]Electricity and CHPs'!E52</f>
        <v>1.066015288545829E-3</v>
      </c>
      <c r="J92" s="1">
        <f>'[1]Electricity and CHPs'!F52</f>
        <v>6.1161076751966659E-3</v>
      </c>
      <c r="K92" s="1">
        <f>'[1]Electricity and CHPs'!G52</f>
        <v>1.3187560419061857</v>
      </c>
    </row>
    <row r="93" spans="1:11" x14ac:dyDescent="0.35">
      <c r="A93" s="5" t="str">
        <f t="shared" si="37"/>
        <v>STEM</v>
      </c>
      <c r="B93" s="5" t="str">
        <f t="shared" si="37"/>
        <v>SPS4</v>
      </c>
      <c r="C93" s="5" t="str">
        <f t="shared" si="38"/>
        <v>CH</v>
      </c>
      <c r="D93" t="s">
        <v>84</v>
      </c>
      <c r="E93" t="str">
        <f>E155</f>
        <v>PJ/yr.</v>
      </c>
      <c r="F93" s="1">
        <f>'[1]Electricity and CHPs'!B54</f>
        <v>0.95937835271700411</v>
      </c>
      <c r="G93" s="1">
        <f>'[1]Electricity and CHPs'!C54</f>
        <v>1.1059591031754912</v>
      </c>
      <c r="H93" s="1">
        <f>'[1]Electricity and CHPs'!D54</f>
        <v>1.1059589226330457</v>
      </c>
      <c r="I93" s="1">
        <f>'[1]Electricity and CHPs'!E54</f>
        <v>1.1059545999885736</v>
      </c>
      <c r="J93" s="1">
        <f>'[1]Electricity and CHPs'!F54</f>
        <v>1.1059560430382105</v>
      </c>
      <c r="K93" s="1">
        <f>'[1]Electricity and CHPs'!G54</f>
        <v>1.1059561576542958</v>
      </c>
    </row>
    <row r="94" spans="1:11" x14ac:dyDescent="0.35">
      <c r="A94" s="5" t="str">
        <f t="shared" si="37"/>
        <v>STEM</v>
      </c>
      <c r="B94" s="5" t="str">
        <f t="shared" si="37"/>
        <v>SPS4</v>
      </c>
      <c r="C94" s="5" t="str">
        <f t="shared" si="38"/>
        <v>CH</v>
      </c>
      <c r="D94" t="s">
        <v>85</v>
      </c>
      <c r="E94" t="str">
        <f>E93</f>
        <v>PJ/yr.</v>
      </c>
      <c r="F94" s="1">
        <f>'[1]Electricity and CHPs'!B55</f>
        <v>0.59441403777155122</v>
      </c>
      <c r="G94" s="1">
        <f>'[1]Electricity and CHPs'!C55</f>
        <v>0.62589143741754594</v>
      </c>
      <c r="H94" s="1">
        <f>'[1]Electricity and CHPs'!D55</f>
        <v>1.6334125437085855E-2</v>
      </c>
      <c r="I94" s="1">
        <f>'[1]Electricity and CHPs'!E55</f>
        <v>1.6482437977468054E-2</v>
      </c>
      <c r="J94" s="1">
        <f>'[1]Electricity and CHPs'!F55</f>
        <v>2.5233439253347634E-2</v>
      </c>
      <c r="K94" s="1">
        <f>'[1]Electricity and CHPs'!G55</f>
        <v>5.9960829624777312E-4</v>
      </c>
    </row>
    <row r="95" spans="1:11" x14ac:dyDescent="0.35">
      <c r="A95" s="5" t="str">
        <f t="shared" si="37"/>
        <v>STEM</v>
      </c>
      <c r="B95" s="5" t="str">
        <f t="shared" si="37"/>
        <v>SPS4</v>
      </c>
      <c r="C95" s="5" t="str">
        <f t="shared" si="38"/>
        <v>CH</v>
      </c>
      <c r="D95" t="s">
        <v>88</v>
      </c>
      <c r="E95" t="str">
        <f>E170</f>
        <v>PJ/yr.</v>
      </c>
      <c r="F95" s="1">
        <f>'[1]Electricity and CHPs'!B58</f>
        <v>0</v>
      </c>
      <c r="G95" s="1">
        <f>'[1]Electricity and CHPs'!C58</f>
        <v>0</v>
      </c>
      <c r="H95" s="1">
        <f>'[1]Electricity and CHPs'!D58</f>
        <v>0</v>
      </c>
      <c r="I95" s="1">
        <f>'[1]Electricity and CHPs'!E58</f>
        <v>4.5972379030124024E-4</v>
      </c>
      <c r="J95" s="1">
        <f>'[1]Electricity and CHPs'!F58</f>
        <v>9.2266157363423088E-3</v>
      </c>
      <c r="K95" s="1">
        <f>'[1]Electricity and CHPs'!G58</f>
        <v>5.9332765541372536</v>
      </c>
    </row>
    <row r="96" spans="1:11" x14ac:dyDescent="0.35">
      <c r="A96" s="5" t="str">
        <f t="shared" ref="A96:B111" si="53">A95</f>
        <v>STEM</v>
      </c>
      <c r="B96" s="5" t="str">
        <f t="shared" si="53"/>
        <v>SPS4</v>
      </c>
      <c r="C96" s="5" t="str">
        <f t="shared" ref="C96:C111" si="54">C95</f>
        <v>CH</v>
      </c>
      <c r="D96" t="s">
        <v>798</v>
      </c>
      <c r="E96" t="str">
        <f t="shared" ref="E96:E106" si="55">E171</f>
        <v>PJ/yr.</v>
      </c>
      <c r="F96" s="1">
        <f>F80-F112</f>
        <v>2.2151579741589931</v>
      </c>
      <c r="G96" s="1">
        <f t="shared" ref="G96:K96" si="56">G80-G112</f>
        <v>0.70720576154168291</v>
      </c>
      <c r="H96" s="1">
        <f t="shared" si="56"/>
        <v>8.7660182178981971E-2</v>
      </c>
      <c r="I96" s="1">
        <f t="shared" si="56"/>
        <v>1.0157955422672147</v>
      </c>
      <c r="J96" s="1">
        <f t="shared" si="56"/>
        <v>4.6326343868319615</v>
      </c>
      <c r="K96" s="1">
        <f t="shared" si="56"/>
        <v>19.072141719712278</v>
      </c>
    </row>
    <row r="97" spans="1:11" x14ac:dyDescent="0.35">
      <c r="A97" s="5" t="str">
        <f t="shared" si="53"/>
        <v>STEM</v>
      </c>
      <c r="B97" s="5" t="str">
        <f t="shared" si="53"/>
        <v>SPS4</v>
      </c>
      <c r="C97" s="5" t="str">
        <f t="shared" si="54"/>
        <v>CH</v>
      </c>
      <c r="D97" t="s">
        <v>552</v>
      </c>
      <c r="E97" t="str">
        <f t="shared" si="55"/>
        <v>PJ/yr.</v>
      </c>
      <c r="F97" s="1">
        <f t="shared" ref="F97:K97" si="57">F81-F113</f>
        <v>0</v>
      </c>
      <c r="G97" s="1">
        <f t="shared" si="57"/>
        <v>0</v>
      </c>
      <c r="H97" s="1">
        <f t="shared" si="57"/>
        <v>0</v>
      </c>
      <c r="I97" s="1">
        <f t="shared" si="57"/>
        <v>0</v>
      </c>
      <c r="J97" s="1">
        <f t="shared" si="57"/>
        <v>4.4976508496523959E-2</v>
      </c>
      <c r="K97" s="1">
        <f t="shared" si="57"/>
        <v>5.8035777087346441</v>
      </c>
    </row>
    <row r="98" spans="1:11" x14ac:dyDescent="0.35">
      <c r="A98" s="5" t="str">
        <f t="shared" si="53"/>
        <v>STEM</v>
      </c>
      <c r="B98" s="5" t="str">
        <f t="shared" si="53"/>
        <v>SPS4</v>
      </c>
      <c r="C98" s="5" t="str">
        <f t="shared" si="54"/>
        <v>CH</v>
      </c>
      <c r="D98" t="s">
        <v>553</v>
      </c>
      <c r="E98" t="str">
        <f t="shared" si="55"/>
        <v>PJ/yr.</v>
      </c>
      <c r="F98" s="1">
        <f t="shared" ref="F98:K98" si="58">F82-F114</f>
        <v>0</v>
      </c>
      <c r="G98" s="1">
        <f t="shared" si="58"/>
        <v>0</v>
      </c>
      <c r="H98" s="1">
        <f t="shared" si="58"/>
        <v>0</v>
      </c>
      <c r="I98" s="1">
        <f t="shared" si="58"/>
        <v>0</v>
      </c>
      <c r="J98" s="1">
        <f t="shared" si="58"/>
        <v>1.0177962704828191E-2</v>
      </c>
      <c r="K98" s="1">
        <f t="shared" si="58"/>
        <v>3.9751654003835988E-3</v>
      </c>
    </row>
    <row r="99" spans="1:11" x14ac:dyDescent="0.35">
      <c r="A99" s="5" t="str">
        <f t="shared" si="53"/>
        <v>STEM</v>
      </c>
      <c r="B99" s="5" t="str">
        <f t="shared" si="53"/>
        <v>SPS4</v>
      </c>
      <c r="C99" s="5" t="str">
        <f t="shared" si="54"/>
        <v>CH</v>
      </c>
      <c r="D99" t="s">
        <v>554</v>
      </c>
      <c r="E99" t="str">
        <f t="shared" si="55"/>
        <v>PJ/yr.</v>
      </c>
      <c r="F99" s="1">
        <f t="shared" ref="F99:K99" si="59">F83-F115</f>
        <v>0</v>
      </c>
      <c r="G99" s="1">
        <f t="shared" si="59"/>
        <v>0</v>
      </c>
      <c r="H99" s="1">
        <f t="shared" si="59"/>
        <v>0</v>
      </c>
      <c r="I99" s="1">
        <f t="shared" si="59"/>
        <v>0</v>
      </c>
      <c r="J99" s="1">
        <f t="shared" si="59"/>
        <v>0</v>
      </c>
      <c r="K99" s="1">
        <f t="shared" si="59"/>
        <v>0</v>
      </c>
    </row>
    <row r="100" spans="1:11" x14ac:dyDescent="0.35">
      <c r="A100" s="5" t="str">
        <f t="shared" si="53"/>
        <v>STEM</v>
      </c>
      <c r="B100" s="5" t="str">
        <f t="shared" si="53"/>
        <v>SPS4</v>
      </c>
      <c r="C100" s="5" t="str">
        <f t="shared" si="54"/>
        <v>CH</v>
      </c>
      <c r="D100" t="s">
        <v>555</v>
      </c>
      <c r="E100" t="str">
        <f t="shared" si="55"/>
        <v>PJ/yr.</v>
      </c>
      <c r="F100" s="1">
        <f t="shared" ref="F100:K100" si="60">F84-F116</f>
        <v>0.94144977989356782</v>
      </c>
      <c r="G100" s="1">
        <f t="shared" si="60"/>
        <v>4.8176327666448534E-4</v>
      </c>
      <c r="H100" s="1">
        <f t="shared" si="60"/>
        <v>2.1011495886829202E-3</v>
      </c>
      <c r="I100" s="1">
        <f t="shared" si="60"/>
        <v>2.7636722516683788E-3</v>
      </c>
      <c r="J100" s="1">
        <f t="shared" si="60"/>
        <v>0.45943312566014932</v>
      </c>
      <c r="K100" s="1">
        <f t="shared" si="60"/>
        <v>0.93240644844015497</v>
      </c>
    </row>
    <row r="101" spans="1:11" x14ac:dyDescent="0.35">
      <c r="A101" s="5" t="str">
        <f t="shared" si="53"/>
        <v>STEM</v>
      </c>
      <c r="B101" s="5" t="str">
        <f t="shared" si="53"/>
        <v>SPS4</v>
      </c>
      <c r="C101" s="5" t="str">
        <f t="shared" si="54"/>
        <v>CH</v>
      </c>
      <c r="D101" t="s">
        <v>556</v>
      </c>
      <c r="E101" t="str">
        <f t="shared" si="55"/>
        <v>PJ/yr.</v>
      </c>
      <c r="F101" s="1">
        <f t="shared" ref="F101:K101" si="61">F85-F117</f>
        <v>0</v>
      </c>
      <c r="G101" s="1">
        <f t="shared" si="61"/>
        <v>0</v>
      </c>
      <c r="H101" s="1">
        <f t="shared" si="61"/>
        <v>0</v>
      </c>
      <c r="I101" s="1">
        <f t="shared" si="61"/>
        <v>0</v>
      </c>
      <c r="J101" s="1">
        <f t="shared" si="61"/>
        <v>0.40379809099939296</v>
      </c>
      <c r="K101" s="1">
        <f t="shared" si="61"/>
        <v>2.0770291992774639</v>
      </c>
    </row>
    <row r="102" spans="1:11" x14ac:dyDescent="0.35">
      <c r="A102" s="5" t="str">
        <f t="shared" si="53"/>
        <v>STEM</v>
      </c>
      <c r="B102" s="5" t="str">
        <f t="shared" si="53"/>
        <v>SPS4</v>
      </c>
      <c r="C102" s="5" t="str">
        <f t="shared" si="54"/>
        <v>CH</v>
      </c>
      <c r="D102" t="s">
        <v>557</v>
      </c>
      <c r="E102" t="str">
        <f t="shared" si="55"/>
        <v>PJ/yr.</v>
      </c>
      <c r="F102" s="1">
        <f t="shared" ref="F102:K102" si="62">F86-F118</f>
        <v>0.65303880766007949</v>
      </c>
      <c r="G102" s="1">
        <f t="shared" si="62"/>
        <v>8.85944617144441E-2</v>
      </c>
      <c r="H102" s="1">
        <f t="shared" si="62"/>
        <v>6.0558066869840485E-2</v>
      </c>
      <c r="I102" s="1">
        <f t="shared" si="62"/>
        <v>0.37882342336904662</v>
      </c>
      <c r="J102" s="1">
        <f t="shared" si="62"/>
        <v>5.73673707551344E-2</v>
      </c>
      <c r="K102" s="1">
        <f t="shared" si="62"/>
        <v>1.2596665275586248E-2</v>
      </c>
    </row>
    <row r="103" spans="1:11" x14ac:dyDescent="0.35">
      <c r="A103" s="5" t="str">
        <f t="shared" si="53"/>
        <v>STEM</v>
      </c>
      <c r="B103" s="5" t="str">
        <f t="shared" si="53"/>
        <v>SPS4</v>
      </c>
      <c r="C103" s="5" t="str">
        <f t="shared" si="54"/>
        <v>CH</v>
      </c>
      <c r="D103" t="s">
        <v>558</v>
      </c>
      <c r="E103" t="str">
        <f t="shared" si="55"/>
        <v>PJ/yr.</v>
      </c>
      <c r="F103" s="1">
        <f t="shared" ref="F103:K103" si="63">F87-F119</f>
        <v>0</v>
      </c>
      <c r="G103" s="1">
        <f t="shared" si="63"/>
        <v>0</v>
      </c>
      <c r="H103" s="1">
        <f t="shared" si="63"/>
        <v>0</v>
      </c>
      <c r="I103" s="1">
        <f t="shared" si="63"/>
        <v>0</v>
      </c>
      <c r="J103" s="1">
        <f t="shared" si="63"/>
        <v>0</v>
      </c>
      <c r="K103" s="1">
        <f t="shared" si="63"/>
        <v>0</v>
      </c>
    </row>
    <row r="104" spans="1:11" x14ac:dyDescent="0.35">
      <c r="A104" s="5" t="str">
        <f t="shared" si="53"/>
        <v>STEM</v>
      </c>
      <c r="B104" s="5" t="str">
        <f t="shared" si="53"/>
        <v>SPS4</v>
      </c>
      <c r="C104" s="5" t="str">
        <f t="shared" si="54"/>
        <v>CH</v>
      </c>
      <c r="D104" t="s">
        <v>559</v>
      </c>
      <c r="E104" t="str">
        <f t="shared" si="55"/>
        <v>PJ/yr.</v>
      </c>
      <c r="F104" s="1">
        <f t="shared" ref="F104:K104" si="64">F88-F120</f>
        <v>0</v>
      </c>
      <c r="G104" s="1">
        <f t="shared" si="64"/>
        <v>0</v>
      </c>
      <c r="H104" s="1">
        <f t="shared" si="64"/>
        <v>0</v>
      </c>
      <c r="I104" s="1">
        <f t="shared" si="64"/>
        <v>5.3193774633407268E-4</v>
      </c>
      <c r="J104" s="1">
        <f t="shared" si="64"/>
        <v>2.9077048840578431E-3</v>
      </c>
      <c r="K104" s="1">
        <f t="shared" si="64"/>
        <v>2.4316424644857601E-3</v>
      </c>
    </row>
    <row r="105" spans="1:11" x14ac:dyDescent="0.35">
      <c r="A105" s="5" t="str">
        <f t="shared" si="53"/>
        <v>STEM</v>
      </c>
      <c r="B105" s="5" t="str">
        <f t="shared" si="53"/>
        <v>SPS4</v>
      </c>
      <c r="C105" s="5" t="str">
        <f t="shared" si="54"/>
        <v>CH</v>
      </c>
      <c r="D105" t="s">
        <v>560</v>
      </c>
      <c r="E105" t="str">
        <f t="shared" si="55"/>
        <v>PJ/yr.</v>
      </c>
      <c r="F105" s="1">
        <f t="shared" ref="F105:K105" si="65">F89-F121</f>
        <v>1.3915008183598298E-2</v>
      </c>
      <c r="G105" s="1">
        <f t="shared" si="65"/>
        <v>2.3037488578166671E-3</v>
      </c>
      <c r="H105" s="1">
        <f t="shared" si="65"/>
        <v>3.7597360059932689E-3</v>
      </c>
      <c r="I105" s="1">
        <f t="shared" si="65"/>
        <v>6.6981303051755377E-3</v>
      </c>
      <c r="J105" s="1">
        <f t="shared" si="65"/>
        <v>3.7411638660088562E-3</v>
      </c>
      <c r="K105" s="1">
        <f t="shared" si="65"/>
        <v>2.1073290662823856E-3</v>
      </c>
    </row>
    <row r="106" spans="1:11" x14ac:dyDescent="0.35">
      <c r="A106" s="5" t="str">
        <f t="shared" si="53"/>
        <v>STEM</v>
      </c>
      <c r="B106" s="5" t="str">
        <f t="shared" si="53"/>
        <v>SPS4</v>
      </c>
      <c r="C106" s="5" t="str">
        <f t="shared" si="54"/>
        <v>CH</v>
      </c>
      <c r="D106" t="s">
        <v>561</v>
      </c>
      <c r="E106" t="str">
        <f t="shared" si="55"/>
        <v>PJ/yr.</v>
      </c>
      <c r="F106" s="1">
        <f t="shared" ref="F106:K106" si="66">F90-F122</f>
        <v>0</v>
      </c>
      <c r="G106" s="1">
        <f t="shared" si="66"/>
        <v>0</v>
      </c>
      <c r="H106" s="1">
        <f t="shared" si="66"/>
        <v>0</v>
      </c>
      <c r="I106" s="1">
        <f t="shared" si="66"/>
        <v>2.1532779881887115E-4</v>
      </c>
      <c r="J106" s="1">
        <f t="shared" si="66"/>
        <v>7.5192856456218554E-4</v>
      </c>
      <c r="K106" s="1">
        <f t="shared" si="66"/>
        <v>7.081373639862338E-4</v>
      </c>
    </row>
    <row r="107" spans="1:11" x14ac:dyDescent="0.35">
      <c r="A107" s="5" t="str">
        <f t="shared" si="53"/>
        <v>STEM</v>
      </c>
      <c r="B107" s="5" t="str">
        <f t="shared" si="53"/>
        <v>SPS4</v>
      </c>
      <c r="C107" s="5" t="str">
        <f t="shared" si="54"/>
        <v>CH</v>
      </c>
      <c r="D107" t="s">
        <v>562</v>
      </c>
      <c r="E107" t="str">
        <f>E183</f>
        <v>PJ/yr.</v>
      </c>
      <c r="F107" s="1">
        <f t="shared" ref="F107:K107" si="67">F91-F123</f>
        <v>2.7377581748226916E-2</v>
      </c>
      <c r="G107" s="1">
        <f t="shared" si="67"/>
        <v>2.4481638039302259E-3</v>
      </c>
      <c r="H107" s="1">
        <f t="shared" si="67"/>
        <v>5.9592520255423685E-3</v>
      </c>
      <c r="I107" s="1">
        <f t="shared" si="67"/>
        <v>0.61031988262365455</v>
      </c>
      <c r="J107" s="1">
        <f t="shared" si="67"/>
        <v>3.6100607955828248</v>
      </c>
      <c r="K107" s="1">
        <f t="shared" si="67"/>
        <v>3.0772085721811768</v>
      </c>
    </row>
    <row r="108" spans="1:11" x14ac:dyDescent="0.35">
      <c r="A108" s="5" t="str">
        <f t="shared" si="53"/>
        <v>STEM</v>
      </c>
      <c r="B108" s="5" t="str">
        <f t="shared" si="53"/>
        <v>SPS4</v>
      </c>
      <c r="C108" s="5" t="str">
        <f t="shared" si="54"/>
        <v>CH</v>
      </c>
      <c r="D108" t="s">
        <v>563</v>
      </c>
      <c r="E108" t="str">
        <f>E185</f>
        <v>PJ/yr.</v>
      </c>
      <c r="F108" s="1">
        <f t="shared" ref="F108:K108" si="68">F92-F124</f>
        <v>0</v>
      </c>
      <c r="G108" s="1">
        <f t="shared" si="68"/>
        <v>0</v>
      </c>
      <c r="H108" s="1">
        <f t="shared" si="68"/>
        <v>0</v>
      </c>
      <c r="I108" s="1">
        <f t="shared" si="68"/>
        <v>9.7337274112852163E-4</v>
      </c>
      <c r="J108" s="1">
        <f t="shared" si="68"/>
        <v>5.9417975949760888E-3</v>
      </c>
      <c r="K108" s="1">
        <f t="shared" si="68"/>
        <v>1.3019309393538496</v>
      </c>
    </row>
    <row r="109" spans="1:11" x14ac:dyDescent="0.35">
      <c r="A109" s="5" t="str">
        <f t="shared" si="53"/>
        <v>STEM</v>
      </c>
      <c r="B109" s="5" t="str">
        <f t="shared" si="53"/>
        <v>SPS4</v>
      </c>
      <c r="C109" s="5" t="str">
        <f t="shared" si="54"/>
        <v>CH</v>
      </c>
      <c r="D109" t="s">
        <v>564</v>
      </c>
      <c r="E109" t="str">
        <f>E187</f>
        <v>PJ/yr.</v>
      </c>
      <c r="F109" s="1">
        <f t="shared" ref="F109:K109" si="69">F93-F125</f>
        <v>0</v>
      </c>
      <c r="G109" s="1">
        <f t="shared" si="69"/>
        <v>0</v>
      </c>
      <c r="H109" s="1">
        <f t="shared" si="69"/>
        <v>0</v>
      </c>
      <c r="I109" s="1">
        <f t="shared" si="69"/>
        <v>0</v>
      </c>
      <c r="J109" s="1">
        <f t="shared" si="69"/>
        <v>0</v>
      </c>
      <c r="K109" s="1">
        <f t="shared" si="69"/>
        <v>0</v>
      </c>
    </row>
    <row r="110" spans="1:11" x14ac:dyDescent="0.35">
      <c r="A110" s="5" t="str">
        <f t="shared" si="53"/>
        <v>STEM</v>
      </c>
      <c r="B110" s="5" t="str">
        <f t="shared" si="53"/>
        <v>SPS4</v>
      </c>
      <c r="C110" s="5" t="str">
        <f t="shared" si="54"/>
        <v>CH</v>
      </c>
      <c r="D110" t="s">
        <v>565</v>
      </c>
      <c r="E110" t="str">
        <f>E188</f>
        <v>PJ/yr.</v>
      </c>
      <c r="F110" s="1">
        <f t="shared" ref="F110:K110" si="70">F94-F126</f>
        <v>0.57937679667352071</v>
      </c>
      <c r="G110" s="1">
        <f t="shared" si="70"/>
        <v>0.61337762388882766</v>
      </c>
      <c r="H110" s="1">
        <f t="shared" si="70"/>
        <v>1.5281977688922761E-2</v>
      </c>
      <c r="I110" s="1">
        <f t="shared" si="70"/>
        <v>1.5050024147865866E-2</v>
      </c>
      <c r="J110" s="1">
        <f t="shared" si="70"/>
        <v>2.4514282061539258E-2</v>
      </c>
      <c r="K110" s="1">
        <f t="shared" si="70"/>
        <v>5.9195830583634113E-4</v>
      </c>
    </row>
    <row r="111" spans="1:11" x14ac:dyDescent="0.35">
      <c r="A111" s="5" t="str">
        <f t="shared" si="53"/>
        <v>STEM</v>
      </c>
      <c r="B111" s="5" t="str">
        <f t="shared" si="53"/>
        <v>SPS4</v>
      </c>
      <c r="C111" s="5" t="str">
        <f t="shared" si="54"/>
        <v>CH</v>
      </c>
      <c r="D111" t="s">
        <v>566</v>
      </c>
      <c r="E111" t="str">
        <f>E193</f>
        <v>PJ/yr.</v>
      </c>
      <c r="F111" s="1">
        <f t="shared" ref="F111:K111" si="71">F95-F127</f>
        <v>0</v>
      </c>
      <c r="G111" s="1">
        <f t="shared" si="71"/>
        <v>0</v>
      </c>
      <c r="H111" s="1">
        <f t="shared" si="71"/>
        <v>0</v>
      </c>
      <c r="I111" s="1">
        <f t="shared" si="71"/>
        <v>4.1977128352251974E-4</v>
      </c>
      <c r="J111" s="1">
        <f t="shared" si="71"/>
        <v>8.9636556619655042E-3</v>
      </c>
      <c r="K111" s="1">
        <f t="shared" si="71"/>
        <v>5.8575779538484278</v>
      </c>
    </row>
    <row r="112" spans="1:11" x14ac:dyDescent="0.35">
      <c r="A112" s="5" t="str">
        <f>A95</f>
        <v>STEM</v>
      </c>
      <c r="B112" s="5" t="str">
        <f t="shared" ref="B112:B175" si="72">B111</f>
        <v>SPS4</v>
      </c>
      <c r="C112" s="5" t="str">
        <f>C95</f>
        <v>CH</v>
      </c>
      <c r="D112" t="s">
        <v>799</v>
      </c>
      <c r="E112" t="str">
        <f>E95</f>
        <v>PJ/yr.</v>
      </c>
      <c r="F112" s="1">
        <f>SUM(F113:F127)</f>
        <v>1.0168709287381728</v>
      </c>
      <c r="G112" s="1">
        <f t="shared" ref="G112:K112" si="73">SUM(G113:G127)</f>
        <v>1.1203871499148876</v>
      </c>
      <c r="H112" s="1">
        <f t="shared" si="73"/>
        <v>1.1119942320125402</v>
      </c>
      <c r="I112" s="1">
        <f t="shared" si="73"/>
        <v>1.2026348158138844</v>
      </c>
      <c r="J112" s="1">
        <f t="shared" si="73"/>
        <v>1.2418601795715811</v>
      </c>
      <c r="K112" s="1">
        <f t="shared" si="73"/>
        <v>1.3524290930667566</v>
      </c>
    </row>
    <row r="113" spans="1:11" x14ac:dyDescent="0.35">
      <c r="A113" s="5" t="str">
        <f t="shared" si="37"/>
        <v>STEM</v>
      </c>
      <c r="B113" s="5" t="str">
        <f t="shared" si="72"/>
        <v>SPS4</v>
      </c>
      <c r="C113" s="5" t="str">
        <f t="shared" si="38"/>
        <v>CH</v>
      </c>
      <c r="D113" t="s">
        <v>613</v>
      </c>
      <c r="E113" t="str">
        <f t="shared" ref="E113:E128" si="74">E112</f>
        <v>PJ/yr.</v>
      </c>
      <c r="F113" s="1">
        <f>'[1]Electricity and CHPs_IN'!L$23/SUM('[1]Electricity and CHPs_IN'!L$22:L$23)*F81</f>
        <v>0</v>
      </c>
      <c r="G113" s="1">
        <f>'[1]Electricity and CHPs_IN'!M$23/SUM('[1]Electricity and CHPs_IN'!M$22:M$23)*G81</f>
        <v>0</v>
      </c>
      <c r="H113" s="1">
        <f>'[1]Electricity and CHPs_IN'!N$23/SUM('[1]Electricity and CHPs_IN'!N$22:N$23)*H81</f>
        <v>0</v>
      </c>
      <c r="I113" s="1">
        <f>'[1]Electricity and CHPs_IN'!O$23/SUM('[1]Electricity and CHPs_IN'!O$22:O$23)*I81</f>
        <v>0</v>
      </c>
      <c r="J113" s="1">
        <f>'[1]Electricity and CHPs_IN'!P$23/SUM('[1]Electricity and CHPs_IN'!P$22:P$23)*J81</f>
        <v>1.3194422527450806E-3</v>
      </c>
      <c r="K113" s="1">
        <f>'[1]Electricity and CHPs_IN'!Q$23/SUM('[1]Electricity and CHPs_IN'!Q$22:Q$23)*K81</f>
        <v>7.5000744792479992E-2</v>
      </c>
    </row>
    <row r="114" spans="1:11" x14ac:dyDescent="0.35">
      <c r="A114" s="5" t="str">
        <f t="shared" si="37"/>
        <v>STEM</v>
      </c>
      <c r="B114" s="5" t="str">
        <f t="shared" si="72"/>
        <v>SPS4</v>
      </c>
      <c r="C114" s="5" t="str">
        <f t="shared" si="38"/>
        <v>CH</v>
      </c>
      <c r="D114" t="s">
        <v>614</v>
      </c>
      <c r="E114" t="str">
        <f t="shared" si="74"/>
        <v>PJ/yr.</v>
      </c>
      <c r="F114" s="1">
        <f>'[1]Electricity and CHPs_IN'!L$23/SUM('[1]Electricity and CHPs_IN'!L$22:L$23)*F82</f>
        <v>0</v>
      </c>
      <c r="G114" s="1">
        <f>'[1]Electricity and CHPs_IN'!M$23/SUM('[1]Electricity and CHPs_IN'!M$22:M$23)*G82</f>
        <v>0</v>
      </c>
      <c r="H114" s="1">
        <f>'[1]Electricity and CHPs_IN'!N$23/SUM('[1]Electricity and CHPs_IN'!N$22:N$23)*H82</f>
        <v>0</v>
      </c>
      <c r="I114" s="1">
        <f>'[1]Electricity and CHPs_IN'!O$23/SUM('[1]Electricity and CHPs_IN'!O$22:O$23)*I82</f>
        <v>0</v>
      </c>
      <c r="J114" s="1">
        <f>'[1]Electricity and CHPs_IN'!P$23/SUM('[1]Electricity and CHPs_IN'!P$22:P$23)*J82</f>
        <v>2.9858329355760932E-4</v>
      </c>
      <c r="K114" s="1">
        <f>'[1]Electricity and CHPs_IN'!Q$23/SUM('[1]Electricity and CHPs_IN'!Q$22:Q$23)*K82</f>
        <v>5.1371822807395554E-5</v>
      </c>
    </row>
    <row r="115" spans="1:11" x14ac:dyDescent="0.35">
      <c r="A115" s="5" t="str">
        <f t="shared" si="37"/>
        <v>STEM</v>
      </c>
      <c r="B115" s="5" t="str">
        <f t="shared" si="72"/>
        <v>SPS4</v>
      </c>
      <c r="C115" s="5" t="str">
        <f t="shared" si="38"/>
        <v>CH</v>
      </c>
      <c r="D115" t="s">
        <v>615</v>
      </c>
      <c r="E115" t="str">
        <f t="shared" si="74"/>
        <v>PJ/yr.</v>
      </c>
      <c r="F115" s="1">
        <f>'[1]Electricity and CHPs_IN'!L$23/SUM('[1]Electricity and CHPs_IN'!L$22:L$23)*F83</f>
        <v>0</v>
      </c>
      <c r="G115" s="1">
        <f>'[1]Electricity and CHPs_IN'!M$23/SUM('[1]Electricity and CHPs_IN'!M$22:M$23)*G83</f>
        <v>0</v>
      </c>
      <c r="H115" s="1">
        <f>'[1]Electricity and CHPs_IN'!N$23/SUM('[1]Electricity and CHPs_IN'!N$22:N$23)*H83</f>
        <v>0</v>
      </c>
      <c r="I115" s="1">
        <f>'[1]Electricity and CHPs_IN'!O$23/SUM('[1]Electricity and CHPs_IN'!O$22:O$23)*I83</f>
        <v>0</v>
      </c>
      <c r="J115" s="1">
        <f>'[1]Electricity and CHPs_IN'!P$23/SUM('[1]Electricity and CHPs_IN'!P$22:P$23)*J83</f>
        <v>0</v>
      </c>
      <c r="K115" s="1">
        <f>'[1]Electricity and CHPs_IN'!Q$23/SUM('[1]Electricity and CHPs_IN'!Q$22:Q$23)*K83</f>
        <v>0</v>
      </c>
    </row>
    <row r="116" spans="1:11" x14ac:dyDescent="0.35">
      <c r="A116" s="5" t="str">
        <f t="shared" si="37"/>
        <v>STEM</v>
      </c>
      <c r="B116" s="5" t="str">
        <f t="shared" si="72"/>
        <v>SPS4</v>
      </c>
      <c r="C116" s="5" t="str">
        <f t="shared" si="38"/>
        <v>CH</v>
      </c>
      <c r="D116" t="s">
        <v>616</v>
      </c>
      <c r="E116" t="str">
        <f t="shared" si="74"/>
        <v>PJ/yr.</v>
      </c>
      <c r="F116" s="1">
        <f>'[1]Electricity and CHPs_IN'!L$23/SUM('[1]Electricity and CHPs_IN'!L$22:L$23)*F84</f>
        <v>2.4434543121554617E-2</v>
      </c>
      <c r="G116" s="1">
        <f>'[1]Electricity and CHPs_IN'!M$23/SUM('[1]Electricity and CHPs_IN'!M$22:M$23)*G84</f>
        <v>9.828685583509932E-6</v>
      </c>
      <c r="H116" s="1">
        <f>'[1]Electricity and CHPs_IN'!N$23/SUM('[1]Electricity and CHPs_IN'!N$22:N$23)*H84</f>
        <v>1.4466189215084368E-4</v>
      </c>
      <c r="I116" s="1">
        <f>'[1]Electricity and CHPs_IN'!O$23/SUM('[1]Electricity and CHPs_IN'!O$22:O$23)*I84</f>
        <v>2.6303760810503148E-4</v>
      </c>
      <c r="J116" s="1">
        <f>'[1]Electricity and CHPs_IN'!P$23/SUM('[1]Electricity and CHPs_IN'!P$22:P$23)*J84</f>
        <v>1.3478046619683505E-2</v>
      </c>
      <c r="K116" s="1">
        <f>'[1]Electricity and CHPs_IN'!Q$23/SUM('[1]Electricity and CHPs_IN'!Q$22:Q$23)*K84</f>
        <v>1.2049666876532585E-2</v>
      </c>
    </row>
    <row r="117" spans="1:11" x14ac:dyDescent="0.35">
      <c r="A117" s="5" t="str">
        <f t="shared" si="37"/>
        <v>STEM</v>
      </c>
      <c r="B117" s="5" t="str">
        <f t="shared" si="72"/>
        <v>SPS4</v>
      </c>
      <c r="C117" s="5" t="str">
        <f t="shared" si="38"/>
        <v>CH</v>
      </c>
      <c r="D117" t="s">
        <v>617</v>
      </c>
      <c r="E117" t="str">
        <f t="shared" si="74"/>
        <v>PJ/yr.</v>
      </c>
      <c r="F117" s="1">
        <f>'[1]Electricity and CHPs_IN'!L$23/SUM('[1]Electricity and CHPs_IN'!L$22:L$23)*F85</f>
        <v>0</v>
      </c>
      <c r="G117" s="1">
        <f>'[1]Electricity and CHPs_IN'!M$23/SUM('[1]Electricity and CHPs_IN'!M$22:M$23)*G85</f>
        <v>0</v>
      </c>
      <c r="H117" s="1">
        <f>'[1]Electricity and CHPs_IN'!N$23/SUM('[1]Electricity and CHPs_IN'!N$22:N$23)*H85</f>
        <v>0</v>
      </c>
      <c r="I117" s="1">
        <f>'[1]Electricity and CHPs_IN'!O$23/SUM('[1]Electricity and CHPs_IN'!O$22:O$23)*I85</f>
        <v>0</v>
      </c>
      <c r="J117" s="1">
        <f>'[1]Electricity and CHPs_IN'!P$23/SUM('[1]Electricity and CHPs_IN'!P$22:P$23)*J85</f>
        <v>1.184592314193484E-2</v>
      </c>
      <c r="K117" s="1">
        <f>'[1]Electricity and CHPs_IN'!Q$23/SUM('[1]Electricity and CHPs_IN'!Q$22:Q$23)*K85</f>
        <v>2.6841845620001633E-2</v>
      </c>
    </row>
    <row r="118" spans="1:11" x14ac:dyDescent="0.35">
      <c r="A118" s="5" t="str">
        <f t="shared" si="37"/>
        <v>STEM</v>
      </c>
      <c r="B118" s="5" t="str">
        <f t="shared" si="72"/>
        <v>SPS4</v>
      </c>
      <c r="C118" s="5" t="str">
        <f t="shared" si="38"/>
        <v>CH</v>
      </c>
      <c r="D118" t="s">
        <v>618</v>
      </c>
      <c r="E118" t="str">
        <f t="shared" si="74"/>
        <v>PJ/yr.</v>
      </c>
      <c r="F118" s="1">
        <f>'[1]Electricity and CHPs_IN'!L$23/SUM('[1]Electricity and CHPs_IN'!L$22:L$23)*F86</f>
        <v>1.6949077100663568E-2</v>
      </c>
      <c r="G118" s="1">
        <f>'[1]Electricity and CHPs_IN'!M$23/SUM('[1]Electricity and CHPs_IN'!M$22:M$23)*G86</f>
        <v>1.8074584569010399E-3</v>
      </c>
      <c r="H118" s="1">
        <f>'[1]Electricity and CHPs_IN'!N$23/SUM('[1]Electricity and CHPs_IN'!N$22:N$23)*H86</f>
        <v>4.1693578532311076E-3</v>
      </c>
      <c r="I118" s="1">
        <f>'[1]Electricity and CHPs_IN'!O$23/SUM('[1]Electricity and CHPs_IN'!O$22:O$23)*I86</f>
        <v>3.6055218601626859E-2</v>
      </c>
      <c r="J118" s="1">
        <f>'[1]Electricity and CHPs_IN'!P$23/SUM('[1]Electricity and CHPs_IN'!P$22:P$23)*J86</f>
        <v>1.6829437284814311E-3</v>
      </c>
      <c r="K118" s="1">
        <f>'[1]Electricity and CHPs_IN'!Q$23/SUM('[1]Electricity and CHPs_IN'!Q$22:Q$23)*K86</f>
        <v>1.6278911474703505E-4</v>
      </c>
    </row>
    <row r="119" spans="1:11" x14ac:dyDescent="0.35">
      <c r="A119" s="5" t="str">
        <f t="shared" si="37"/>
        <v>STEM</v>
      </c>
      <c r="B119" s="5" t="str">
        <f t="shared" si="72"/>
        <v>SPS4</v>
      </c>
      <c r="C119" s="5" t="str">
        <f t="shared" si="38"/>
        <v>CH</v>
      </c>
      <c r="D119" t="s">
        <v>619</v>
      </c>
      <c r="E119" t="str">
        <f t="shared" si="74"/>
        <v>PJ/yr.</v>
      </c>
      <c r="F119" s="1">
        <f>'[1]Electricity and CHPs_IN'!L$23/SUM('[1]Electricity and CHPs_IN'!L$22:L$23)*F87</f>
        <v>0</v>
      </c>
      <c r="G119" s="1">
        <f>'[1]Electricity and CHPs_IN'!M$23/SUM('[1]Electricity and CHPs_IN'!M$22:M$23)*G87</f>
        <v>0</v>
      </c>
      <c r="H119" s="1">
        <f>'[1]Electricity and CHPs_IN'!N$23/SUM('[1]Electricity and CHPs_IN'!N$22:N$23)*H87</f>
        <v>0</v>
      </c>
      <c r="I119" s="1">
        <f>'[1]Electricity and CHPs_IN'!O$23/SUM('[1]Electricity and CHPs_IN'!O$22:O$23)*I87</f>
        <v>0</v>
      </c>
      <c r="J119" s="1">
        <f>'[1]Electricity and CHPs_IN'!P$23/SUM('[1]Electricity and CHPs_IN'!P$22:P$23)*J87</f>
        <v>0</v>
      </c>
      <c r="K119" s="1">
        <f>'[1]Electricity and CHPs_IN'!Q$23/SUM('[1]Electricity and CHPs_IN'!Q$22:Q$23)*K87</f>
        <v>0</v>
      </c>
    </row>
    <row r="120" spans="1:11" x14ac:dyDescent="0.35">
      <c r="A120" s="5" t="str">
        <f t="shared" si="37"/>
        <v>STEM</v>
      </c>
      <c r="B120" s="5" t="str">
        <f t="shared" si="72"/>
        <v>SPS4</v>
      </c>
      <c r="C120" s="5" t="str">
        <f t="shared" si="38"/>
        <v>CH</v>
      </c>
      <c r="D120" t="s">
        <v>620</v>
      </c>
      <c r="E120" t="str">
        <f t="shared" si="74"/>
        <v>PJ/yr.</v>
      </c>
      <c r="F120" s="1">
        <f>'[1]Electricity and CHPs_IN'!L$23/SUM('[1]Electricity and CHPs_IN'!L$22:L$23)*F88</f>
        <v>0</v>
      </c>
      <c r="G120" s="1">
        <f>'[1]Electricity and CHPs_IN'!M$23/SUM('[1]Electricity and CHPs_IN'!M$22:M$23)*G88</f>
        <v>0</v>
      </c>
      <c r="H120" s="1">
        <f>'[1]Electricity and CHPs_IN'!N$23/SUM('[1]Electricity and CHPs_IN'!N$22:N$23)*H88</f>
        <v>0</v>
      </c>
      <c r="I120" s="1">
        <f>'[1]Electricity and CHPs_IN'!O$23/SUM('[1]Electricity and CHPs_IN'!O$22:O$23)*I88</f>
        <v>5.0628156928531778E-5</v>
      </c>
      <c r="J120" s="1">
        <f>'[1]Electricity and CHPs_IN'!P$23/SUM('[1]Electricity and CHPs_IN'!P$22:P$23)*J88</f>
        <v>8.5301167449128784E-5</v>
      </c>
      <c r="K120" s="1">
        <f>'[1]Electricity and CHPs_IN'!Q$23/SUM('[1]Electricity and CHPs_IN'!Q$22:Q$23)*K88</f>
        <v>3.1424580673912751E-5</v>
      </c>
    </row>
    <row r="121" spans="1:11" x14ac:dyDescent="0.35">
      <c r="A121" s="5" t="str">
        <f t="shared" si="37"/>
        <v>STEM</v>
      </c>
      <c r="B121" s="5" t="str">
        <f t="shared" si="72"/>
        <v>SPS4</v>
      </c>
      <c r="C121" s="5" t="str">
        <f t="shared" si="38"/>
        <v>CH</v>
      </c>
      <c r="D121" t="s">
        <v>621</v>
      </c>
      <c r="E121" t="str">
        <f t="shared" si="74"/>
        <v>PJ/yr.</v>
      </c>
      <c r="F121" s="1">
        <f>'[1]Electricity and CHPs_IN'!L$23/SUM('[1]Electricity and CHPs_IN'!L$22:L$23)*F89</f>
        <v>3.6115242125539211E-4</v>
      </c>
      <c r="G121" s="1">
        <f>'[1]Electricity and CHPs_IN'!M$23/SUM('[1]Electricity and CHPs_IN'!M$22:M$23)*G89</f>
        <v>4.6999894520020259E-5</v>
      </c>
      <c r="H121" s="1">
        <f>'[1]Electricity and CHPs_IN'!N$23/SUM('[1]Electricity and CHPs_IN'!N$22:N$23)*H89</f>
        <v>2.5885378534879714E-4</v>
      </c>
      <c r="I121" s="1">
        <f>'[1]Electricity and CHPs_IN'!O$23/SUM('[1]Electricity and CHPs_IN'!O$22:O$23)*I89</f>
        <v>6.3750691609165851E-4</v>
      </c>
      <c r="J121" s="1">
        <f>'[1]Electricity and CHPs_IN'!P$23/SUM('[1]Electricity and CHPs_IN'!P$22:P$23)*J89</f>
        <v>1.0975173138743578E-4</v>
      </c>
      <c r="K121" s="1">
        <f>'[1]Electricity and CHPs_IN'!Q$23/SUM('[1]Electricity and CHPs_IN'!Q$22:Q$23)*K89</f>
        <v>2.7233416596825462E-5</v>
      </c>
    </row>
    <row r="122" spans="1:11" x14ac:dyDescent="0.35">
      <c r="A122" s="5" t="str">
        <f t="shared" si="37"/>
        <v>STEM</v>
      </c>
      <c r="B122" s="5" t="str">
        <f t="shared" si="72"/>
        <v>SPS4</v>
      </c>
      <c r="C122" s="5" t="str">
        <f t="shared" si="38"/>
        <v>CH</v>
      </c>
      <c r="D122" t="s">
        <v>622</v>
      </c>
      <c r="E122" t="str">
        <f t="shared" si="74"/>
        <v>PJ/yr.</v>
      </c>
      <c r="F122" s="1">
        <f>'[1]Electricity and CHPs_IN'!L$23/SUM('[1]Electricity and CHPs_IN'!L$22:L$23)*F90</f>
        <v>0</v>
      </c>
      <c r="G122" s="1">
        <f>'[1]Electricity and CHPs_IN'!M$23/SUM('[1]Electricity and CHPs_IN'!M$22:M$23)*G90</f>
        <v>0</v>
      </c>
      <c r="H122" s="1">
        <f>'[1]Electricity and CHPs_IN'!N$23/SUM('[1]Electricity and CHPs_IN'!N$22:N$23)*H90</f>
        <v>0</v>
      </c>
      <c r="I122" s="1">
        <f>'[1]Electricity and CHPs_IN'!O$23/SUM('[1]Electricity and CHPs_IN'!O$22:O$23)*I90</f>
        <v>2.0494220733173107E-5</v>
      </c>
      <c r="J122" s="1">
        <f>'[1]Electricity and CHPs_IN'!P$23/SUM('[1]Electricity and CHPs_IN'!P$22:P$23)*J90</f>
        <v>2.2058766949550609E-5</v>
      </c>
      <c r="K122" s="1">
        <f>'[1]Electricity and CHPs_IN'!Q$23/SUM('[1]Electricity and CHPs_IN'!Q$22:Q$23)*K90</f>
        <v>9.1513946017155687E-6</v>
      </c>
    </row>
    <row r="123" spans="1:11" x14ac:dyDescent="0.35">
      <c r="A123" s="5" t="str">
        <f t="shared" si="37"/>
        <v>STEM</v>
      </c>
      <c r="B123" s="5" t="str">
        <f t="shared" si="72"/>
        <v>SPS4</v>
      </c>
      <c r="C123" s="5" t="str">
        <f t="shared" si="38"/>
        <v>CH</v>
      </c>
      <c r="D123" t="s">
        <v>623</v>
      </c>
      <c r="E123" t="str">
        <f t="shared" si="74"/>
        <v>PJ/yr.</v>
      </c>
      <c r="F123" s="1">
        <f>'[1]Electricity and CHPs_IN'!L$23/SUM('[1]Electricity and CHPs_IN'!L$22:L$23)*F91</f>
        <v>7.1056227966462954E-4</v>
      </c>
      <c r="G123" s="1">
        <f>'[1]Electricity and CHPs_IN'!M$23/SUM('[1]Electricity and CHPs_IN'!M$22:M$23)*G91</f>
        <v>4.994617367341911E-5</v>
      </c>
      <c r="H123" s="1">
        <f>'[1]Electricity and CHPs_IN'!N$23/SUM('[1]Electricity and CHPs_IN'!N$22:N$23)*H91</f>
        <v>4.1028810060072358E-4</v>
      </c>
      <c r="I123" s="1">
        <f>'[1]Electricity and CHPs_IN'!O$23/SUM('[1]Electricity and CHPs_IN'!O$22:O$23)*I91</f>
        <v>5.808832143802737E-2</v>
      </c>
      <c r="J123" s="1">
        <f>'[1]Electricity and CHPs_IN'!P$23/SUM('[1]Electricity and CHPs_IN'!P$22:P$23)*J91</f>
        <v>0.10590565848477619</v>
      </c>
      <c r="K123" s="1">
        <f>'[1]Electricity and CHPs_IN'!Q$23/SUM('[1]Electricity and CHPs_IN'!Q$22:Q$23)*K91</f>
        <v>3.976735496244644E-2</v>
      </c>
    </row>
    <row r="124" spans="1:11" x14ac:dyDescent="0.35">
      <c r="A124" s="5" t="str">
        <f t="shared" si="37"/>
        <v>STEM</v>
      </c>
      <c r="B124" s="5" t="str">
        <f t="shared" si="72"/>
        <v>SPS4</v>
      </c>
      <c r="C124" s="5" t="str">
        <f t="shared" si="38"/>
        <v>CH</v>
      </c>
      <c r="D124" t="s">
        <v>624</v>
      </c>
      <c r="E124" t="str">
        <f t="shared" si="74"/>
        <v>PJ/yr.</v>
      </c>
      <c r="F124" s="1">
        <f>'[1]Electricity and CHPs_IN'!L$23/SUM('[1]Electricity and CHPs_IN'!L$22:L$23)*F92</f>
        <v>0</v>
      </c>
      <c r="G124" s="1">
        <f>'[1]Electricity and CHPs_IN'!M$23/SUM('[1]Electricity and CHPs_IN'!M$22:M$23)*G92</f>
        <v>0</v>
      </c>
      <c r="H124" s="1">
        <f>'[1]Electricity and CHPs_IN'!N$23/SUM('[1]Electricity and CHPs_IN'!N$22:N$23)*H92</f>
        <v>0</v>
      </c>
      <c r="I124" s="1">
        <f>'[1]Electricity and CHPs_IN'!O$23/SUM('[1]Electricity and CHPs_IN'!O$22:O$23)*I92</f>
        <v>9.2642547417307337E-5</v>
      </c>
      <c r="J124" s="1">
        <f>'[1]Electricity and CHPs_IN'!P$23/SUM('[1]Electricity and CHPs_IN'!P$22:P$23)*J92</f>
        <v>1.7431008022057698E-4</v>
      </c>
      <c r="K124" s="1">
        <f>'[1]Electricity and CHPs_IN'!Q$23/SUM('[1]Electricity and CHPs_IN'!Q$22:Q$23)*K92</f>
        <v>1.6825102552336043E-2</v>
      </c>
    </row>
    <row r="125" spans="1:11" x14ac:dyDescent="0.35">
      <c r="A125" s="5" t="str">
        <f t="shared" si="37"/>
        <v>STEM</v>
      </c>
      <c r="B125" s="5" t="str">
        <f t="shared" si="72"/>
        <v>SPS4</v>
      </c>
      <c r="C125" s="5" t="str">
        <f t="shared" si="38"/>
        <v>CH</v>
      </c>
      <c r="D125" t="s">
        <v>625</v>
      </c>
      <c r="E125" t="str">
        <f t="shared" si="74"/>
        <v>PJ/yr.</v>
      </c>
      <c r="F125" s="1">
        <f t="shared" ref="F125:K125" si="75">F93</f>
        <v>0.95937835271700411</v>
      </c>
      <c r="G125" s="1">
        <f t="shared" si="75"/>
        <v>1.1059591031754912</v>
      </c>
      <c r="H125" s="1">
        <f t="shared" si="75"/>
        <v>1.1059589226330457</v>
      </c>
      <c r="I125" s="1">
        <f t="shared" si="75"/>
        <v>1.1059545999885736</v>
      </c>
      <c r="J125" s="1">
        <f t="shared" si="75"/>
        <v>1.1059560430382105</v>
      </c>
      <c r="K125" s="1">
        <f t="shared" si="75"/>
        <v>1.1059561576542958</v>
      </c>
    </row>
    <row r="126" spans="1:11" x14ac:dyDescent="0.35">
      <c r="A126" s="5" t="str">
        <f t="shared" si="37"/>
        <v>STEM</v>
      </c>
      <c r="B126" s="5" t="str">
        <f t="shared" si="72"/>
        <v>SPS4</v>
      </c>
      <c r="C126" s="5" t="str">
        <f t="shared" si="38"/>
        <v>CH</v>
      </c>
      <c r="D126" t="s">
        <v>626</v>
      </c>
      <c r="E126" t="str">
        <f t="shared" si="74"/>
        <v>PJ/yr.</v>
      </c>
      <c r="F126" s="1">
        <f>'[1]Electricity and CHPs_IN'!L$23/SUM('[1]Electricity and CHPs_IN'!L$22:L$23)*F94</f>
        <v>1.5037241098030498E-2</v>
      </c>
      <c r="G126" s="1">
        <f>'[1]Electricity and CHPs_IN'!M$23/SUM('[1]Electricity and CHPs_IN'!M$22:M$23)*G94</f>
        <v>1.2513813528718307E-2</v>
      </c>
      <c r="H126" s="1">
        <f>'[1]Electricity and CHPs_IN'!N$23/SUM('[1]Electricity and CHPs_IN'!N$22:N$23)*H94</f>
        <v>1.0521477481630933E-3</v>
      </c>
      <c r="I126" s="1">
        <f>'[1]Electricity and CHPs_IN'!O$23/SUM('[1]Electricity and CHPs_IN'!O$22:O$23)*I94</f>
        <v>1.4324138296021873E-3</v>
      </c>
      <c r="J126" s="1">
        <f>'[1]Electricity and CHPs_IN'!P$23/SUM('[1]Electricity and CHPs_IN'!P$22:P$23)*J94</f>
        <v>7.1915719180837485E-4</v>
      </c>
      <c r="K126" s="1">
        <f>'[1]Electricity and CHPs_IN'!Q$23/SUM('[1]Electricity and CHPs_IN'!Q$22:Q$23)*K94</f>
        <v>7.6499904114319517E-6</v>
      </c>
    </row>
    <row r="127" spans="1:11" x14ac:dyDescent="0.35">
      <c r="A127" s="5" t="str">
        <f t="shared" si="37"/>
        <v>STEM</v>
      </c>
      <c r="B127" s="5" t="str">
        <f t="shared" si="72"/>
        <v>SPS4</v>
      </c>
      <c r="C127" s="5" t="str">
        <f t="shared" si="38"/>
        <v>CH</v>
      </c>
      <c r="D127" t="s">
        <v>627</v>
      </c>
      <c r="E127" t="str">
        <f t="shared" si="74"/>
        <v>PJ/yr.</v>
      </c>
      <c r="F127" s="1">
        <f>'[1]Electricity and CHPs_IN'!L$23/SUM('[1]Electricity and CHPs_IN'!L$22:L$23)*F95</f>
        <v>0</v>
      </c>
      <c r="G127" s="1">
        <f>'[1]Electricity and CHPs_IN'!M$23/SUM('[1]Electricity and CHPs_IN'!M$22:M$23)*G95</f>
        <v>0</v>
      </c>
      <c r="H127" s="1">
        <f>'[1]Electricity and CHPs_IN'!N$23/SUM('[1]Electricity and CHPs_IN'!N$22:N$23)*H95</f>
        <v>0</v>
      </c>
      <c r="I127" s="1">
        <f>'[1]Electricity and CHPs_IN'!O$23/SUM('[1]Electricity and CHPs_IN'!O$22:O$23)*I95</f>
        <v>3.9952506778720483E-5</v>
      </c>
      <c r="J127" s="1">
        <f>'[1]Electricity and CHPs_IN'!P$23/SUM('[1]Electricity and CHPs_IN'!P$22:P$23)*J95</f>
        <v>2.629600743768054E-4</v>
      </c>
      <c r="K127" s="1">
        <f>'[1]Electricity and CHPs_IN'!Q$23/SUM('[1]Electricity and CHPs_IN'!Q$22:Q$23)*K95</f>
        <v>7.569860028882576E-2</v>
      </c>
    </row>
    <row r="128" spans="1:11" x14ac:dyDescent="0.35">
      <c r="A128" s="5" t="str">
        <f t="shared" si="37"/>
        <v>STEM</v>
      </c>
      <c r="B128" s="5" t="str">
        <f t="shared" si="72"/>
        <v>SPS4</v>
      </c>
      <c r="C128" s="5" t="str">
        <f t="shared" si="38"/>
        <v>CH</v>
      </c>
      <c r="D128" t="s">
        <v>800</v>
      </c>
      <c r="E128" t="str">
        <f t="shared" si="74"/>
        <v>PJ/yr.</v>
      </c>
      <c r="F128" s="1">
        <f>SUM(F129:F134)</f>
        <v>8.2846076916688052</v>
      </c>
      <c r="G128" s="1">
        <f t="shared" ref="G128:K128" si="76">SUM(G129:G134)</f>
        <v>8.957221991995258</v>
      </c>
      <c r="H128" s="1">
        <f t="shared" si="76"/>
        <v>9.1881062903906816</v>
      </c>
      <c r="I128" s="1">
        <f t="shared" si="76"/>
        <v>9.1456348184102723</v>
      </c>
      <c r="J128" s="1">
        <f t="shared" si="76"/>
        <v>9.3992229378011967</v>
      </c>
      <c r="K128" s="1">
        <f t="shared" si="76"/>
        <v>9.8174460321361021</v>
      </c>
    </row>
    <row r="129" spans="1:17" x14ac:dyDescent="0.35">
      <c r="A129" s="5" t="str">
        <f t="shared" si="37"/>
        <v>STEM</v>
      </c>
      <c r="B129" s="5" t="str">
        <f t="shared" si="72"/>
        <v>SPS4</v>
      </c>
      <c r="C129" s="5" t="str">
        <f t="shared" si="38"/>
        <v>CH</v>
      </c>
      <c r="D129" t="s">
        <v>53</v>
      </c>
      <c r="E129" t="str">
        <f>E73</f>
        <v>PJ/yr.</v>
      </c>
      <c r="F129" s="1">
        <f>'[1]Electricity and CHPs'!B19</f>
        <v>6.5070005492417158</v>
      </c>
      <c r="G129" s="1">
        <f>'[1]Electricity and CHPs'!C19</f>
        <v>7.3027686955955255</v>
      </c>
      <c r="H129" s="1">
        <f>'[1]Electricity and CHPs'!D19</f>
        <v>7.4118958696041393</v>
      </c>
      <c r="I129" s="1">
        <f>'[1]Electricity and CHPs'!E19</f>
        <v>7.3981407610366832</v>
      </c>
      <c r="J129" s="1">
        <f>'[1]Electricity and CHPs'!F19</f>
        <v>7.6680275402036582</v>
      </c>
      <c r="K129" s="1">
        <f>'[1]Electricity and CHPs'!G19</f>
        <v>8.0332779104895167</v>
      </c>
    </row>
    <row r="130" spans="1:17" x14ac:dyDescent="0.35">
      <c r="A130" s="5" t="str">
        <f t="shared" si="37"/>
        <v>STEM</v>
      </c>
      <c r="B130" s="5" t="str">
        <f t="shared" si="72"/>
        <v>SPS4</v>
      </c>
      <c r="C130" s="5" t="str">
        <f t="shared" si="38"/>
        <v>CH</v>
      </c>
      <c r="D130" t="s">
        <v>52</v>
      </c>
      <c r="E130" t="str">
        <f>E129</f>
        <v>PJ/yr.</v>
      </c>
      <c r="F130" s="1">
        <f>'[1]Electricity and CHPs'!B20</f>
        <v>0</v>
      </c>
      <c r="G130" s="1">
        <f>'[1]Electricity and CHPs'!C20</f>
        <v>0</v>
      </c>
      <c r="H130" s="1">
        <f>'[1]Electricity and CHPs'!D20</f>
        <v>0</v>
      </c>
      <c r="I130" s="1">
        <f>'[1]Electricity and CHPs'!E20</f>
        <v>0</v>
      </c>
      <c r="J130" s="1">
        <f>'[1]Electricity and CHPs'!F20</f>
        <v>0</v>
      </c>
      <c r="K130" s="1">
        <f>'[1]Electricity and CHPs'!G20</f>
        <v>0</v>
      </c>
    </row>
    <row r="131" spans="1:17" x14ac:dyDescent="0.35">
      <c r="A131" s="5" t="str">
        <f t="shared" si="37"/>
        <v>STEM</v>
      </c>
      <c r="B131" s="5" t="str">
        <f t="shared" si="72"/>
        <v>SPS4</v>
      </c>
      <c r="C131" s="5" t="str">
        <f t="shared" si="38"/>
        <v>CH</v>
      </c>
      <c r="D131" t="s">
        <v>51</v>
      </c>
      <c r="E131" t="str">
        <f>E150</f>
        <v>PJ/yr.</v>
      </c>
      <c r="F131" s="1">
        <f>'[1]Electricity and CHPs'!B26</f>
        <v>1.547549794176057</v>
      </c>
      <c r="G131" s="1">
        <f>'[1]Electricity and CHPs'!C26</f>
        <v>1.4242926839626764</v>
      </c>
      <c r="H131" s="1">
        <f>'[1]Electricity and CHPs'!D26</f>
        <v>1.4395016714202755</v>
      </c>
      <c r="I131" s="1">
        <f>'[1]Electricity and CHPs'!E26</f>
        <v>1.414544249387357</v>
      </c>
      <c r="J131" s="1">
        <f>'[1]Electricity and CHPs'!F26</f>
        <v>1.4036684740636487</v>
      </c>
      <c r="K131" s="1">
        <f>'[1]Electricity and CHPs'!G26</f>
        <v>1.4599645752596013</v>
      </c>
    </row>
    <row r="132" spans="1:17" x14ac:dyDescent="0.35">
      <c r="A132" s="5" t="str">
        <f t="shared" si="37"/>
        <v>STEM</v>
      </c>
      <c r="B132" s="5" t="str">
        <f t="shared" si="72"/>
        <v>SPS4</v>
      </c>
      <c r="C132" s="5" t="str">
        <f t="shared" si="38"/>
        <v>CH</v>
      </c>
      <c r="D132" t="s">
        <v>50</v>
      </c>
      <c r="E132" t="str">
        <f>E131</f>
        <v>PJ/yr.</v>
      </c>
      <c r="F132" s="1">
        <f>'[1]Electricity and CHPs'!B27</f>
        <v>0</v>
      </c>
      <c r="G132" s="1">
        <f>'[1]Electricity and CHPs'!C27</f>
        <v>0</v>
      </c>
      <c r="H132" s="1">
        <f>'[1]Electricity and CHPs'!D27</f>
        <v>0</v>
      </c>
      <c r="I132" s="1">
        <f>'[1]Electricity and CHPs'!E27</f>
        <v>0</v>
      </c>
      <c r="J132" s="1">
        <f>'[1]Electricity and CHPs'!F27</f>
        <v>0</v>
      </c>
      <c r="K132" s="1">
        <f>'[1]Electricity and CHPs'!G27</f>
        <v>0</v>
      </c>
    </row>
    <row r="133" spans="1:17" x14ac:dyDescent="0.35">
      <c r="A133" s="5" t="str">
        <f t="shared" si="37"/>
        <v>STEM</v>
      </c>
      <c r="B133" s="5" t="str">
        <f t="shared" si="72"/>
        <v>SPS4</v>
      </c>
      <c r="C133" s="5" t="str">
        <f t="shared" si="38"/>
        <v>CH</v>
      </c>
      <c r="D133" t="s">
        <v>48</v>
      </c>
      <c r="E133" t="str">
        <f>E153</f>
        <v>PJ/yr.</v>
      </c>
      <c r="F133" s="1">
        <f>'[1]Electricity and CHPs'!B44</f>
        <v>0.23005734825103194</v>
      </c>
      <c r="G133" s="1">
        <f>'[1]Electricity and CHPs'!C44</f>
        <v>0.23016061243705532</v>
      </c>
      <c r="H133" s="1">
        <f>'[1]Electricity and CHPs'!D44</f>
        <v>0.33670874936626743</v>
      </c>
      <c r="I133" s="1">
        <f>'[1]Electricity and CHPs'!E44</f>
        <v>0.33294980798623131</v>
      </c>
      <c r="J133" s="1">
        <f>'[1]Electricity and CHPs'!F44</f>
        <v>0.32752692353389001</v>
      </c>
      <c r="K133" s="1">
        <f>'[1]Electricity and CHPs'!G44</f>
        <v>0.32420354638698484</v>
      </c>
    </row>
    <row r="134" spans="1:17" x14ac:dyDescent="0.35">
      <c r="A134" s="5" t="str">
        <f t="shared" si="37"/>
        <v>STEM</v>
      </c>
      <c r="B134" s="5" t="str">
        <f t="shared" si="72"/>
        <v>SPS4</v>
      </c>
      <c r="C134" s="5" t="str">
        <f t="shared" si="38"/>
        <v>CH</v>
      </c>
      <c r="D134" t="s">
        <v>49</v>
      </c>
      <c r="E134" t="str">
        <f>E133</f>
        <v>PJ/yr.</v>
      </c>
      <c r="F134" s="1">
        <f>'[1]Electricity and CHPs'!B45</f>
        <v>0</v>
      </c>
      <c r="G134" s="1">
        <f>'[1]Electricity and CHPs'!C45</f>
        <v>0</v>
      </c>
      <c r="H134" s="1">
        <f>'[1]Electricity and CHPs'!D45</f>
        <v>0</v>
      </c>
      <c r="I134" s="1">
        <f>'[1]Electricity and CHPs'!E45</f>
        <v>0</v>
      </c>
      <c r="J134" s="1">
        <f>'[1]Electricity and CHPs'!F45</f>
        <v>0</v>
      </c>
      <c r="K134" s="1">
        <f>'[1]Electricity and CHPs'!G45</f>
        <v>0</v>
      </c>
    </row>
    <row r="135" spans="1:17" x14ac:dyDescent="0.35">
      <c r="A135" s="5" t="str">
        <f t="shared" si="37"/>
        <v>STEM</v>
      </c>
      <c r="B135" s="5" t="str">
        <f t="shared" si="72"/>
        <v>SPS4</v>
      </c>
      <c r="C135" s="5" t="str">
        <f t="shared" si="38"/>
        <v>CH</v>
      </c>
      <c r="D135" t="s">
        <v>89</v>
      </c>
      <c r="E135" t="str">
        <f t="shared" ref="E135:E149" si="77">E134</f>
        <v>PJ/yr.</v>
      </c>
      <c r="F135" s="1">
        <f>SUM(F136:F139)</f>
        <v>4.0272751717088857</v>
      </c>
      <c r="G135" s="1">
        <f t="shared" ref="G135:K135" si="78">SUM(G136:G139)</f>
        <v>4.3635306897791013</v>
      </c>
      <c r="H135" s="1">
        <f t="shared" si="78"/>
        <v>4.4256987705122066</v>
      </c>
      <c r="I135" s="1">
        <f t="shared" si="78"/>
        <v>4.4063425052120202</v>
      </c>
      <c r="J135" s="1">
        <f t="shared" si="78"/>
        <v>4.5358480071336533</v>
      </c>
      <c r="K135" s="1">
        <f t="shared" si="78"/>
        <v>4.7466212428745589</v>
      </c>
      <c r="M135" s="1"/>
      <c r="N135" s="1"/>
      <c r="O135" s="1"/>
      <c r="P135" s="1"/>
      <c r="Q135" s="1"/>
    </row>
    <row r="136" spans="1:17" x14ac:dyDescent="0.35">
      <c r="A136" s="5" t="str">
        <f t="shared" si="37"/>
        <v>STEM</v>
      </c>
      <c r="B136" s="5" t="str">
        <f t="shared" si="72"/>
        <v>SPS4</v>
      </c>
      <c r="C136" s="5" t="str">
        <f t="shared" si="38"/>
        <v>CH</v>
      </c>
      <c r="D136" t="s">
        <v>60</v>
      </c>
      <c r="E136" t="str">
        <f>E135</f>
        <v>PJ/yr.</v>
      </c>
      <c r="F136" s="1" cm="1">
        <f t="array" ref="F136">F129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3.2535002746208574</v>
      </c>
      <c r="G136" s="1" cm="1">
        <f t="array" ref="G136">G129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3.6513843477977628</v>
      </c>
      <c r="H136" s="1" cm="1">
        <f t="array" ref="H136">H129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3.7059479348020692</v>
      </c>
      <c r="I136" s="1" cm="1">
        <f t="array" ref="I136">I129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3.699070380518342</v>
      </c>
      <c r="J136" s="1" cm="1">
        <f t="array" ref="J136">J129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3.8340137701018291</v>
      </c>
      <c r="K136" s="1" cm="1">
        <f t="array" ref="K136">K129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4.0166389552447583</v>
      </c>
    </row>
    <row r="137" spans="1:17" x14ac:dyDescent="0.35">
      <c r="A137" s="5" t="str">
        <f t="shared" si="37"/>
        <v>STEM</v>
      </c>
      <c r="B137" s="5" t="str">
        <f t="shared" si="72"/>
        <v>SPS4</v>
      </c>
      <c r="C137" s="5" t="str">
        <f t="shared" si="38"/>
        <v>CH</v>
      </c>
      <c r="D137" t="s">
        <v>61</v>
      </c>
      <c r="E137" t="str">
        <f t="shared" si="77"/>
        <v>PJ/yr.</v>
      </c>
      <c r="F137" s="1" cm="1">
        <f t="array" ref="F137">F130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7" s="1" cm="1">
        <f t="array" ref="G137">G130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7" s="1" cm="1">
        <f t="array" ref="H137">H130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7" s="1" cm="1">
        <f t="array" ref="I137">I130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7" s="1" cm="1">
        <f t="array" ref="J137">J130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37" s="1" cm="1">
        <f t="array" ref="K137">K130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</v>
      </c>
    </row>
    <row r="138" spans="1:17" x14ac:dyDescent="0.35">
      <c r="A138" s="5" t="str">
        <f t="shared" si="37"/>
        <v>STEM</v>
      </c>
      <c r="B138" s="5" t="str">
        <f t="shared" si="72"/>
        <v>SPS4</v>
      </c>
      <c r="C138" s="5" t="str">
        <f t="shared" si="38"/>
        <v>CH</v>
      </c>
      <c r="D138" t="s">
        <v>62</v>
      </c>
      <c r="E138" t="str">
        <f t="shared" si="77"/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0.77377489708802838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0.7121463419813383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0.71975083571013776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0.70727212469367851</v>
      </c>
      <c r="J138" s="1" cm="1">
        <f t="array" ref="J138">J131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0.70183423703182435</v>
      </c>
      <c r="K138" s="1" cm="1">
        <f t="array" ref="K138">K131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0.72998228762980077</v>
      </c>
    </row>
    <row r="139" spans="1:17" x14ac:dyDescent="0.35">
      <c r="A139" s="5" t="str">
        <f t="shared" si="37"/>
        <v>STEM</v>
      </c>
      <c r="B139" s="5" t="str">
        <f t="shared" si="72"/>
        <v>SPS4</v>
      </c>
      <c r="C139" s="5" t="str">
        <f t="shared" si="38"/>
        <v>CH</v>
      </c>
      <c r="D139" t="s">
        <v>63</v>
      </c>
      <c r="E139" t="str">
        <f t="shared" si="77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39" s="1" cm="1">
        <f t="array" ref="K139">K132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</v>
      </c>
    </row>
    <row r="140" spans="1:17" x14ac:dyDescent="0.35">
      <c r="A140" s="5" t="str">
        <f t="shared" si="37"/>
        <v>STEM</v>
      </c>
      <c r="B140" s="5" t="str">
        <f t="shared" si="72"/>
        <v>SPS4</v>
      </c>
      <c r="C140" s="5" t="str">
        <f t="shared" si="38"/>
        <v>CH</v>
      </c>
      <c r="D140" t="s">
        <v>64</v>
      </c>
      <c r="E140" t="str">
        <f t="shared" si="77"/>
        <v>PJ/yr.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</row>
    <row r="141" spans="1:17" x14ac:dyDescent="0.35">
      <c r="A141" s="5" t="str">
        <f t="shared" si="37"/>
        <v>STEM</v>
      </c>
      <c r="B141" s="5" t="str">
        <f t="shared" si="72"/>
        <v>SPS4</v>
      </c>
      <c r="C141" s="5" t="str">
        <f t="shared" si="38"/>
        <v>CH</v>
      </c>
      <c r="D141" t="s">
        <v>65</v>
      </c>
      <c r="E141" t="str">
        <f t="shared" si="77"/>
        <v>PJ/yr.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</row>
    <row r="142" spans="1:17" x14ac:dyDescent="0.35">
      <c r="A142" s="5" t="str">
        <f t="shared" si="37"/>
        <v>STEM</v>
      </c>
      <c r="B142" s="5" t="str">
        <f t="shared" si="72"/>
        <v>SPS4</v>
      </c>
      <c r="C142" s="5" t="str">
        <f t="shared" si="38"/>
        <v>CH</v>
      </c>
      <c r="D142" t="s">
        <v>801</v>
      </c>
      <c r="E142" t="str">
        <f>E141</f>
        <v>PJ/yr.</v>
      </c>
      <c r="F142" s="1">
        <f>SUM(F143:F148)</f>
        <v>4.2573325199599186</v>
      </c>
      <c r="G142" s="1">
        <f t="shared" ref="G142:K142" si="79">SUM(G143:G148)</f>
        <v>4.5936913022161558</v>
      </c>
      <c r="H142" s="1">
        <f t="shared" si="79"/>
        <v>4.762407519878475</v>
      </c>
      <c r="I142" s="1">
        <f t="shared" si="79"/>
        <v>4.7392923131982503</v>
      </c>
      <c r="J142" s="1">
        <f t="shared" si="79"/>
        <v>4.8633749306675433</v>
      </c>
      <c r="K142" s="1">
        <f t="shared" si="79"/>
        <v>5.0708247892615441</v>
      </c>
    </row>
    <row r="143" spans="1:17" x14ac:dyDescent="0.35">
      <c r="A143" s="5" t="str">
        <f t="shared" si="37"/>
        <v>STEM</v>
      </c>
      <c r="B143" s="5" t="str">
        <f t="shared" si="72"/>
        <v>SPS4</v>
      </c>
      <c r="C143" s="5" t="str">
        <f t="shared" si="38"/>
        <v>CH</v>
      </c>
      <c r="D143" t="s">
        <v>56</v>
      </c>
      <c r="E143" t="str">
        <f>E142</f>
        <v>PJ/yr.</v>
      </c>
      <c r="F143" s="1">
        <f>F129-F136</f>
        <v>3.2535002746208583</v>
      </c>
      <c r="G143" s="1">
        <f t="shared" ref="G143:K143" si="80">G129-G136</f>
        <v>3.6513843477977628</v>
      </c>
      <c r="H143" s="1">
        <f t="shared" si="80"/>
        <v>3.7059479348020701</v>
      </c>
      <c r="I143" s="1">
        <f t="shared" si="80"/>
        <v>3.6990703805183411</v>
      </c>
      <c r="J143" s="1">
        <f t="shared" si="80"/>
        <v>3.8340137701018291</v>
      </c>
      <c r="K143" s="1">
        <f t="shared" si="80"/>
        <v>4.0166389552447583</v>
      </c>
    </row>
    <row r="144" spans="1:17" x14ac:dyDescent="0.35">
      <c r="A144" s="5" t="str">
        <f t="shared" si="37"/>
        <v>STEM</v>
      </c>
      <c r="B144" s="5" t="str">
        <f t="shared" si="72"/>
        <v>SPS4</v>
      </c>
      <c r="C144" s="5" t="str">
        <f t="shared" si="38"/>
        <v>CH</v>
      </c>
      <c r="D144" t="s">
        <v>57</v>
      </c>
      <c r="E144" t="str">
        <f t="shared" si="77"/>
        <v>PJ/yr.</v>
      </c>
      <c r="F144" s="1">
        <f t="shared" ref="F144:K144" si="81">F130-F137</f>
        <v>0</v>
      </c>
      <c r="G144" s="1">
        <f t="shared" si="81"/>
        <v>0</v>
      </c>
      <c r="H144" s="1">
        <f t="shared" si="81"/>
        <v>0</v>
      </c>
      <c r="I144" s="1">
        <f t="shared" si="81"/>
        <v>0</v>
      </c>
      <c r="J144" s="1">
        <f t="shared" si="81"/>
        <v>0</v>
      </c>
      <c r="K144" s="1">
        <f t="shared" si="81"/>
        <v>0</v>
      </c>
    </row>
    <row r="145" spans="1:11" x14ac:dyDescent="0.35">
      <c r="A145" s="5" t="str">
        <f t="shared" si="37"/>
        <v>STEM</v>
      </c>
      <c r="B145" s="5" t="str">
        <f t="shared" si="72"/>
        <v>SPS4</v>
      </c>
      <c r="C145" s="5" t="str">
        <f t="shared" si="38"/>
        <v>CH</v>
      </c>
      <c r="D145" t="s">
        <v>58</v>
      </c>
      <c r="E145" t="str">
        <f t="shared" si="77"/>
        <v>PJ/yr.</v>
      </c>
      <c r="F145" s="1">
        <f t="shared" ref="F145:K145" si="82">F131-F138</f>
        <v>0.7737748970880286</v>
      </c>
      <c r="G145" s="1">
        <f t="shared" si="82"/>
        <v>0.71214634198133808</v>
      </c>
      <c r="H145" s="1">
        <f t="shared" si="82"/>
        <v>0.71975083571013776</v>
      </c>
      <c r="I145" s="1">
        <f t="shared" si="82"/>
        <v>0.70727212469367851</v>
      </c>
      <c r="J145" s="1">
        <f t="shared" si="82"/>
        <v>0.70183423703182435</v>
      </c>
      <c r="K145" s="1">
        <f t="shared" si="82"/>
        <v>0.72998228762980055</v>
      </c>
    </row>
    <row r="146" spans="1:11" x14ac:dyDescent="0.35">
      <c r="A146" s="5" t="str">
        <f t="shared" si="37"/>
        <v>STEM</v>
      </c>
      <c r="B146" s="5" t="str">
        <f t="shared" si="72"/>
        <v>SPS4</v>
      </c>
      <c r="C146" s="5" t="str">
        <f t="shared" si="38"/>
        <v>CH</v>
      </c>
      <c r="D146" t="s">
        <v>59</v>
      </c>
      <c r="E146" t="str">
        <f t="shared" si="77"/>
        <v>PJ/yr.</v>
      </c>
      <c r="F146" s="1">
        <f t="shared" ref="F146:K146" si="83">F132-F139</f>
        <v>0</v>
      </c>
      <c r="G146" s="1">
        <f t="shared" si="83"/>
        <v>0</v>
      </c>
      <c r="H146" s="1">
        <f t="shared" si="83"/>
        <v>0</v>
      </c>
      <c r="I146" s="1">
        <f t="shared" si="83"/>
        <v>0</v>
      </c>
      <c r="J146" s="1">
        <f t="shared" si="83"/>
        <v>0</v>
      </c>
      <c r="K146" s="1">
        <f t="shared" si="83"/>
        <v>0</v>
      </c>
    </row>
    <row r="147" spans="1:11" x14ac:dyDescent="0.35">
      <c r="A147" s="5" t="str">
        <f t="shared" si="37"/>
        <v>STEM</v>
      </c>
      <c r="B147" s="5" t="str">
        <f t="shared" si="72"/>
        <v>SPS4</v>
      </c>
      <c r="C147" s="5" t="str">
        <f t="shared" si="38"/>
        <v>CH</v>
      </c>
      <c r="D147" t="s">
        <v>54</v>
      </c>
      <c r="E147" t="str">
        <f t="shared" si="77"/>
        <v>PJ/yr.</v>
      </c>
      <c r="F147" s="1">
        <f t="shared" ref="F147:K147" si="84">F133-F140</f>
        <v>0.23005734825103194</v>
      </c>
      <c r="G147" s="1">
        <f t="shared" si="84"/>
        <v>0.23016061243705532</v>
      </c>
      <c r="H147" s="1">
        <f t="shared" si="84"/>
        <v>0.33670874936626743</v>
      </c>
      <c r="I147" s="1">
        <f t="shared" si="84"/>
        <v>0.33294980798623131</v>
      </c>
      <c r="J147" s="1">
        <f t="shared" si="84"/>
        <v>0.32752692353389001</v>
      </c>
      <c r="K147" s="1">
        <f t="shared" si="84"/>
        <v>0.32420354638698484</v>
      </c>
    </row>
    <row r="148" spans="1:11" x14ac:dyDescent="0.35">
      <c r="A148" s="5" t="str">
        <f t="shared" ref="A148:B179" si="85">A147</f>
        <v>STEM</v>
      </c>
      <c r="B148" s="5" t="str">
        <f t="shared" si="72"/>
        <v>SPS4</v>
      </c>
      <c r="C148" s="5" t="str">
        <f t="shared" ref="C148:C179" si="86">C147</f>
        <v>CH</v>
      </c>
      <c r="D148" t="s">
        <v>55</v>
      </c>
      <c r="E148" t="str">
        <f t="shared" si="77"/>
        <v>PJ/yr.</v>
      </c>
      <c r="F148" s="1">
        <f t="shared" ref="F148:K148" si="87">F134-F141</f>
        <v>0</v>
      </c>
      <c r="G148" s="1">
        <f t="shared" si="87"/>
        <v>0</v>
      </c>
      <c r="H148" s="1">
        <f t="shared" si="87"/>
        <v>0</v>
      </c>
      <c r="I148" s="1">
        <f t="shared" si="87"/>
        <v>0</v>
      </c>
      <c r="J148" s="1">
        <f t="shared" si="87"/>
        <v>0</v>
      </c>
      <c r="K148" s="1">
        <f t="shared" si="87"/>
        <v>0</v>
      </c>
    </row>
    <row r="149" spans="1:11" x14ac:dyDescent="0.35">
      <c r="A149" s="5" t="str">
        <f t="shared" si="85"/>
        <v>STEM</v>
      </c>
      <c r="B149" s="5" t="str">
        <f t="shared" si="72"/>
        <v>SPS4</v>
      </c>
      <c r="C149" s="5" t="str">
        <f t="shared" si="86"/>
        <v>CH</v>
      </c>
      <c r="D149" t="s">
        <v>802</v>
      </c>
      <c r="E149" t="str">
        <f t="shared" si="77"/>
        <v>PJ/yr.</v>
      </c>
      <c r="F149" s="1">
        <f>SUM(F150:F156)</f>
        <v>0.60066541407651641</v>
      </c>
      <c r="G149" s="1">
        <f t="shared" ref="G149:K149" si="88">SUM(G150:G156)</f>
        <v>0.60064207682857018</v>
      </c>
      <c r="H149" s="1">
        <f t="shared" si="88"/>
        <v>1.1362112804064595</v>
      </c>
      <c r="I149" s="1">
        <f t="shared" si="88"/>
        <v>2.5662472246902235</v>
      </c>
      <c r="J149" s="1">
        <f t="shared" si="88"/>
        <v>4.5422628437937647</v>
      </c>
      <c r="K149" s="1">
        <f t="shared" si="88"/>
        <v>5.8867364854532971</v>
      </c>
    </row>
    <row r="150" spans="1:11" x14ac:dyDescent="0.35">
      <c r="A150" s="5" t="str">
        <f t="shared" si="85"/>
        <v>STEM</v>
      </c>
      <c r="B150" s="5" t="str">
        <f t="shared" si="72"/>
        <v>SPS4</v>
      </c>
      <c r="C150" s="5" t="str">
        <f t="shared" si="86"/>
        <v>CH</v>
      </c>
      <c r="D150" t="s">
        <v>66</v>
      </c>
      <c r="E150" t="str">
        <f>E84</f>
        <v>PJ/yr.</v>
      </c>
      <c r="F150" s="1">
        <f>'[1]Electricity and CHPs'!B25</f>
        <v>0.42817183661497926</v>
      </c>
      <c r="G150" s="1">
        <f>'[1]Electricity and CHPs'!C25</f>
        <v>7.8997239795932067E-2</v>
      </c>
      <c r="H150" s="1">
        <f>'[1]Electricity and CHPs'!D25</f>
        <v>9.1283671564890492E-4</v>
      </c>
      <c r="I150" s="1">
        <f>'[1]Electricity and CHPs'!E25</f>
        <v>1.0143359882511593</v>
      </c>
      <c r="J150" s="1">
        <f>'[1]Electricity and CHPs'!F25</f>
        <v>1.5690574959857344</v>
      </c>
      <c r="K150" s="1">
        <f>'[1]Electricity and CHPs'!G25</f>
        <v>1.9764003644981274</v>
      </c>
    </row>
    <row r="151" spans="1:11" x14ac:dyDescent="0.35">
      <c r="A151" s="5" t="str">
        <f t="shared" si="85"/>
        <v>STEM</v>
      </c>
      <c r="B151" s="5" t="str">
        <f t="shared" si="72"/>
        <v>SPS4</v>
      </c>
      <c r="C151" s="5" t="str">
        <f t="shared" si="86"/>
        <v>CH</v>
      </c>
      <c r="D151" t="s">
        <v>67</v>
      </c>
      <c r="E151" t="str">
        <f>E168</f>
        <v>PJ/yr.</v>
      </c>
      <c r="F151" s="1">
        <f>'[1]Electricity and CHPs'!B31</f>
        <v>0</v>
      </c>
      <c r="G151" s="1">
        <f>'[1]Electricity and CHPs'!C31</f>
        <v>0</v>
      </c>
      <c r="H151" s="1">
        <f>'[1]Electricity and CHPs'!D31</f>
        <v>0</v>
      </c>
      <c r="I151" s="1">
        <f>'[1]Electricity and CHPs'!E31</f>
        <v>0</v>
      </c>
      <c r="J151" s="1">
        <f>'[1]Electricity and CHPs'!F31</f>
        <v>0</v>
      </c>
      <c r="K151" s="1">
        <f>'[1]Electricity and CHPs'!G31</f>
        <v>0</v>
      </c>
    </row>
    <row r="152" spans="1:11" x14ac:dyDescent="0.35">
      <c r="A152" s="5" t="str">
        <f t="shared" si="85"/>
        <v>STEM</v>
      </c>
      <c r="B152" s="5" t="str">
        <f t="shared" si="72"/>
        <v>SPS4</v>
      </c>
      <c r="C152" s="5" t="str">
        <f t="shared" si="86"/>
        <v>CH</v>
      </c>
      <c r="D152" t="s">
        <v>68</v>
      </c>
      <c r="E152" t="str">
        <f>E75</f>
        <v>PJ/yr.</v>
      </c>
      <c r="F152" s="1">
        <f>'[1]Electricity and CHPs'!B42</f>
        <v>0.17249357746153715</v>
      </c>
      <c r="G152" s="1">
        <f>'[1]Electricity and CHPs'!C42</f>
        <v>0.52164483703263809</v>
      </c>
      <c r="H152" s="1">
        <f>'[1]Electricity and CHPs'!D42</f>
        <v>1.1352984436908105</v>
      </c>
      <c r="I152" s="1">
        <f>'[1]Electricity and CHPs'!E42</f>
        <v>1.5484521156742825</v>
      </c>
      <c r="J152" s="1">
        <f>'[1]Electricity and CHPs'!F42</f>
        <v>2.9695103893394172</v>
      </c>
      <c r="K152" s="1">
        <f>'[1]Electricity and CHPs'!G42</f>
        <v>3.9084452421652069</v>
      </c>
    </row>
    <row r="153" spans="1:11" x14ac:dyDescent="0.35">
      <c r="A153" s="5" t="str">
        <f t="shared" si="85"/>
        <v>STEM</v>
      </c>
      <c r="B153" s="5" t="str">
        <f t="shared" si="72"/>
        <v>SPS4</v>
      </c>
      <c r="C153" s="5" t="str">
        <f t="shared" si="86"/>
        <v>CH</v>
      </c>
      <c r="D153" t="s">
        <v>69</v>
      </c>
      <c r="E153" t="str">
        <f>E152</f>
        <v>PJ/yr.</v>
      </c>
      <c r="F153" s="1">
        <f>'[1]Electricity and CHPs'!B43</f>
        <v>0</v>
      </c>
      <c r="G153" s="1">
        <f>'[1]Electricity and CHPs'!C43</f>
        <v>0</v>
      </c>
      <c r="H153" s="1">
        <f>'[1]Electricity and CHPs'!D43</f>
        <v>0</v>
      </c>
      <c r="I153" s="1">
        <f>'[1]Electricity and CHPs'!E43</f>
        <v>0</v>
      </c>
      <c r="J153" s="1">
        <f>'[1]Electricity and CHPs'!F43</f>
        <v>0</v>
      </c>
      <c r="K153" s="1">
        <f>'[1]Electricity and CHPs'!G43</f>
        <v>0</v>
      </c>
    </row>
    <row r="154" spans="1:11" x14ac:dyDescent="0.35">
      <c r="A154" s="5" t="str">
        <f t="shared" si="85"/>
        <v>STEM</v>
      </c>
      <c r="B154" s="5" t="str">
        <f t="shared" si="72"/>
        <v>SPS4</v>
      </c>
      <c r="C154" s="5" t="str">
        <f t="shared" si="86"/>
        <v>CH</v>
      </c>
      <c r="D154" t="s">
        <v>70</v>
      </c>
      <c r="E154" t="str">
        <f>E90</f>
        <v>PJ/yr.</v>
      </c>
      <c r="F154" s="1">
        <f>'[1]Electricity and CHPs'!B50</f>
        <v>0</v>
      </c>
      <c r="G154" s="1">
        <f>'[1]Electricity and CHPs'!C50</f>
        <v>0</v>
      </c>
      <c r="H154" s="1">
        <f>'[1]Electricity and CHPs'!D50</f>
        <v>0</v>
      </c>
      <c r="I154" s="1">
        <f>'[1]Electricity and CHPs'!E50</f>
        <v>8.317570214524941E-4</v>
      </c>
      <c r="J154" s="1">
        <f>'[1]Electricity and CHPs'!F50</f>
        <v>1.008359599501858E-3</v>
      </c>
      <c r="K154" s="1">
        <f>'[1]Electricity and CHPs'!G50</f>
        <v>5.9429113020459411E-4</v>
      </c>
    </row>
    <row r="155" spans="1:11" x14ac:dyDescent="0.35">
      <c r="A155" s="5" t="str">
        <f t="shared" si="85"/>
        <v>STEM</v>
      </c>
      <c r="B155" s="5" t="str">
        <f t="shared" si="72"/>
        <v>SPS4</v>
      </c>
      <c r="C155" s="5" t="str">
        <f t="shared" si="86"/>
        <v>CH</v>
      </c>
      <c r="D155" t="s">
        <v>71</v>
      </c>
      <c r="E155" t="str">
        <f>E92</f>
        <v>PJ/yr.</v>
      </c>
      <c r="F155" s="1">
        <f>'[1]Electricity and CHPs'!B53</f>
        <v>0</v>
      </c>
      <c r="G155" s="1">
        <f>'[1]Electricity and CHPs'!C53</f>
        <v>0</v>
      </c>
      <c r="H155" s="1">
        <f>'[1]Electricity and CHPs'!D53</f>
        <v>0</v>
      </c>
      <c r="I155" s="1">
        <f>'[1]Electricity and CHPs'!E53</f>
        <v>1.7915263060351476E-3</v>
      </c>
      <c r="J155" s="1">
        <f>'[1]Electricity and CHPs'!F53</f>
        <v>1.7124726149401362E-3</v>
      </c>
      <c r="K155" s="1">
        <f>'[1]Electricity and CHPs'!G53</f>
        <v>9.4035028459093833E-4</v>
      </c>
    </row>
    <row r="156" spans="1:11" x14ac:dyDescent="0.35">
      <c r="A156" s="5" t="str">
        <f t="shared" si="85"/>
        <v>STEM</v>
      </c>
      <c r="B156" s="5" t="str">
        <f t="shared" si="72"/>
        <v>SPS4</v>
      </c>
      <c r="C156" s="5" t="str">
        <f t="shared" si="86"/>
        <v>CH</v>
      </c>
      <c r="D156" t="s">
        <v>295</v>
      </c>
      <c r="E156" t="str">
        <f>E94</f>
        <v>PJ/yr.</v>
      </c>
      <c r="F156" s="1">
        <f>'[1]Electricity and CHPs'!B56</f>
        <v>0</v>
      </c>
      <c r="G156" s="1">
        <f>'[1]Electricity and CHPs'!C56</f>
        <v>0</v>
      </c>
      <c r="H156" s="1">
        <f>'[1]Electricity and CHPs'!D56</f>
        <v>0</v>
      </c>
      <c r="I156" s="1">
        <f>'[1]Electricity and CHPs'!E56</f>
        <v>8.3583743729409067E-4</v>
      </c>
      <c r="J156" s="1">
        <f>'[1]Electricity and CHPs'!F56</f>
        <v>9.741262541709746E-4</v>
      </c>
      <c r="K156" s="1">
        <f>'[1]Electricity and CHPs'!G56</f>
        <v>3.5623737516798194E-4</v>
      </c>
    </row>
    <row r="157" spans="1:11" x14ac:dyDescent="0.35">
      <c r="A157" s="5" t="str">
        <f t="shared" si="85"/>
        <v>STEM</v>
      </c>
      <c r="B157" s="5" t="str">
        <f t="shared" si="72"/>
        <v>SPS4</v>
      </c>
      <c r="C157" s="5" t="str">
        <f t="shared" si="86"/>
        <v>CH</v>
      </c>
      <c r="D157" t="s">
        <v>803</v>
      </c>
      <c r="E157" t="str">
        <f>E95</f>
        <v>PJ/yr.</v>
      </c>
      <c r="F157" s="1">
        <f>F158</f>
        <v>0.52400000000000047</v>
      </c>
      <c r="G157" s="1">
        <f t="shared" ref="G157:K157" si="89">G158</f>
        <v>0.54529218817233771</v>
      </c>
      <c r="H157" s="1">
        <f t="shared" si="89"/>
        <v>0.50316478650588714</v>
      </c>
      <c r="I157" s="1">
        <f t="shared" si="89"/>
        <v>0.88470540530052799</v>
      </c>
      <c r="J157" s="1">
        <f t="shared" si="89"/>
        <v>0.79251205342188069</v>
      </c>
      <c r="K157" s="1">
        <f t="shared" si="89"/>
        <v>3.1871311584375048</v>
      </c>
    </row>
    <row r="158" spans="1:11" x14ac:dyDescent="0.35">
      <c r="A158" s="5" t="str">
        <f t="shared" si="85"/>
        <v>STEM</v>
      </c>
      <c r="B158" s="5" t="str">
        <f t="shared" si="72"/>
        <v>SPS4</v>
      </c>
      <c r="C158" s="5" t="str">
        <f t="shared" si="86"/>
        <v>CH</v>
      </c>
      <c r="D158" t="s">
        <v>72</v>
      </c>
      <c r="E158" t="str">
        <f>E165</f>
        <v>PJ/yr.</v>
      </c>
      <c r="F158" s="1">
        <f>'[1]Electricity and CHPs'!B33</f>
        <v>0.52400000000000047</v>
      </c>
      <c r="G158" s="1">
        <f>'[1]Electricity and CHPs'!C33</f>
        <v>0.54529218817233771</v>
      </c>
      <c r="H158" s="1">
        <f>'[1]Electricity and CHPs'!D33</f>
        <v>0.50316478650588714</v>
      </c>
      <c r="I158" s="1">
        <f>'[1]Electricity and CHPs'!E33</f>
        <v>0.88470540530052799</v>
      </c>
      <c r="J158" s="1">
        <f>'[1]Electricity and CHPs'!F33</f>
        <v>0.79251205342188069</v>
      </c>
      <c r="K158" s="1">
        <f>'[1]Electricity and CHPs'!G33</f>
        <v>3.1871311584375048</v>
      </c>
    </row>
    <row r="159" spans="1:11" x14ac:dyDescent="0.35">
      <c r="A159" s="5" t="str">
        <f t="shared" si="85"/>
        <v>STEM</v>
      </c>
      <c r="B159" s="5" t="str">
        <f t="shared" si="72"/>
        <v>SPS4</v>
      </c>
      <c r="C159" s="5" t="str">
        <f t="shared" si="86"/>
        <v>CH</v>
      </c>
      <c r="D159" t="s">
        <v>804</v>
      </c>
      <c r="E159" t="str">
        <f>E169</f>
        <v>PJ/yr.</v>
      </c>
      <c r="F159" s="1">
        <f>SUM(F160:F164)</f>
        <v>9.3550000000000111</v>
      </c>
      <c r="G159" s="1">
        <f t="shared" ref="G159:K159" si="90">SUM(G160:G164)</f>
        <v>12.822601044512133</v>
      </c>
      <c r="H159" s="1">
        <f t="shared" si="90"/>
        <v>28.800021329546816</v>
      </c>
      <c r="I159" s="1">
        <f t="shared" si="90"/>
        <v>31.170947068199794</v>
      </c>
      <c r="J159" s="1">
        <f t="shared" si="90"/>
        <v>50.918603419399112</v>
      </c>
      <c r="K159" s="1">
        <f t="shared" si="90"/>
        <v>65.001968288364665</v>
      </c>
    </row>
    <row r="160" spans="1:11" x14ac:dyDescent="0.35">
      <c r="A160" s="5" t="str">
        <f t="shared" si="85"/>
        <v>STEM</v>
      </c>
      <c r="B160" s="5" t="str">
        <f t="shared" si="72"/>
        <v>SPS4</v>
      </c>
      <c r="C160" s="5" t="str">
        <f t="shared" si="86"/>
        <v>CH</v>
      </c>
      <c r="D160" t="s">
        <v>73</v>
      </c>
      <c r="E160" t="str">
        <f>E158</f>
        <v>PJ/yr.</v>
      </c>
      <c r="F160" s="1">
        <f>'[1]Electricity and CHPs'!B34</f>
        <v>0</v>
      </c>
      <c r="G160" s="1">
        <f>'[1]Electricity and CHPs'!C34</f>
        <v>0</v>
      </c>
      <c r="H160" s="1">
        <f>'[1]Electricity and CHPs'!D34</f>
        <v>0.14081197866949283</v>
      </c>
      <c r="I160" s="1">
        <f>'[1]Electricity and CHPs'!E34</f>
        <v>0.15586649247381029</v>
      </c>
      <c r="J160" s="1">
        <f>'[1]Electricity and CHPs'!F34</f>
        <v>1.4227698751863633</v>
      </c>
      <c r="K160" s="1">
        <f>'[1]Electricity and CHPs'!G34</f>
        <v>5.8688696598798051</v>
      </c>
    </row>
    <row r="161" spans="1:11" x14ac:dyDescent="0.35">
      <c r="A161" s="5" t="str">
        <f t="shared" si="85"/>
        <v>STEM</v>
      </c>
      <c r="B161" s="5" t="str">
        <f t="shared" si="72"/>
        <v>SPS4</v>
      </c>
      <c r="C161" s="5" t="str">
        <f t="shared" si="86"/>
        <v>CH</v>
      </c>
      <c r="D161" t="s">
        <v>74</v>
      </c>
      <c r="E161" t="str">
        <f>E160</f>
        <v>PJ/yr.</v>
      </c>
      <c r="F161" s="1">
        <f>'[1]Electricity and CHPs'!B35</f>
        <v>3.517953999707534</v>
      </c>
      <c r="G161" s="1">
        <f>'[1]Electricity and CHPs'!C35</f>
        <v>4.8498358630868532</v>
      </c>
      <c r="H161" s="1">
        <f>'[1]Electricity and CHPs'!D35</f>
        <v>11.161629688698701</v>
      </c>
      <c r="I161" s="1">
        <f>'[1]Electricity and CHPs'!E35</f>
        <v>12.110654148324913</v>
      </c>
      <c r="J161" s="1">
        <f>'[1]Electricity and CHPs'!F35</f>
        <v>31.864007505027764</v>
      </c>
      <c r="K161" s="1">
        <f>'[1]Electricity and CHPs'!G35</f>
        <v>41.365270797855707</v>
      </c>
    </row>
    <row r="162" spans="1:11" x14ac:dyDescent="0.35">
      <c r="A162" s="5" t="str">
        <f t="shared" si="85"/>
        <v>STEM</v>
      </c>
      <c r="B162" s="5" t="str">
        <f t="shared" si="72"/>
        <v>SPS4</v>
      </c>
      <c r="C162" s="5" t="str">
        <f t="shared" si="86"/>
        <v>CH</v>
      </c>
      <c r="D162" t="s">
        <v>75</v>
      </c>
      <c r="E162" t="str">
        <f>E161</f>
        <v>PJ/yr.</v>
      </c>
      <c r="F162" s="1">
        <f>'[1]Electricity and CHPs'!B36</f>
        <v>2.1349390887346629</v>
      </c>
      <c r="G162" s="1">
        <f>'[1]Electricity and CHPs'!C36</f>
        <v>3.3906952529113097</v>
      </c>
      <c r="H162" s="1">
        <f>'[1]Electricity and CHPs'!D36</f>
        <v>4.0431155193030506</v>
      </c>
      <c r="I162" s="1">
        <f>'[1]Electricity and CHPs'!E36</f>
        <v>4.3469912565653077</v>
      </c>
      <c r="J162" s="1">
        <f>'[1]Electricity and CHPs'!F36</f>
        <v>1.5513542777157683</v>
      </c>
      <c r="K162" s="1">
        <f>'[1]Electricity and CHPs'!G36</f>
        <v>4.9783059847589278E-3</v>
      </c>
    </row>
    <row r="163" spans="1:11" x14ac:dyDescent="0.35">
      <c r="A163" s="5" t="str">
        <f t="shared" si="85"/>
        <v>STEM</v>
      </c>
      <c r="B163" s="5" t="str">
        <f t="shared" si="72"/>
        <v>SPS4</v>
      </c>
      <c r="C163" s="5" t="str">
        <f t="shared" si="86"/>
        <v>CH</v>
      </c>
      <c r="D163" t="s">
        <v>76</v>
      </c>
      <c r="E163" t="str">
        <f>E162</f>
        <v>PJ/yr.</v>
      </c>
      <c r="F163" s="1">
        <f>'[1]Electricity and CHPs'!B37</f>
        <v>0.86248322578584768</v>
      </c>
      <c r="G163" s="1">
        <f>'[1]Electricity and CHPs'!C37</f>
        <v>1.2876147649710539</v>
      </c>
      <c r="H163" s="1">
        <f>'[1]Electricity and CHPs'!D37</f>
        <v>3.4879586719998397</v>
      </c>
      <c r="I163" s="1">
        <f>'[1]Electricity and CHPs'!E37</f>
        <v>3.8198114902017313</v>
      </c>
      <c r="J163" s="1">
        <f>'[1]Electricity and CHPs'!F37</f>
        <v>4.2194482795938359</v>
      </c>
      <c r="K163" s="1">
        <f>'[1]Electricity and CHPs'!G37</f>
        <v>4.6608987449479979</v>
      </c>
    </row>
    <row r="164" spans="1:11" x14ac:dyDescent="0.35">
      <c r="A164" s="5" t="str">
        <f t="shared" si="85"/>
        <v>STEM</v>
      </c>
      <c r="B164" s="5" t="str">
        <f t="shared" si="72"/>
        <v>SPS4</v>
      </c>
      <c r="C164" s="5" t="str">
        <f t="shared" si="86"/>
        <v>CH</v>
      </c>
      <c r="D164" t="s">
        <v>86</v>
      </c>
      <c r="E164" t="str">
        <f>E163</f>
        <v>PJ/yr.</v>
      </c>
      <c r="F164" s="1">
        <f>'[1]Electricity and CHPs'!B38</f>
        <v>2.8396236857719668</v>
      </c>
      <c r="G164" s="1">
        <f>'[1]Electricity and CHPs'!C38</f>
        <v>3.2944551635429171</v>
      </c>
      <c r="H164" s="1">
        <f>'[1]Electricity and CHPs'!D38</f>
        <v>9.9665054708757328</v>
      </c>
      <c r="I164" s="1">
        <f>'[1]Electricity and CHPs'!E38</f>
        <v>10.737623680634032</v>
      </c>
      <c r="J164" s="1">
        <f>'[1]Electricity and CHPs'!F38</f>
        <v>11.861023481875385</v>
      </c>
      <c r="K164" s="1">
        <f>'[1]Electricity and CHPs'!G38</f>
        <v>13.101950779696397</v>
      </c>
    </row>
    <row r="165" spans="1:11" x14ac:dyDescent="0.35">
      <c r="A165" s="5" t="str">
        <f>A168</f>
        <v>STEM</v>
      </c>
      <c r="B165" s="5" t="str">
        <f t="shared" si="72"/>
        <v>SPS4</v>
      </c>
      <c r="C165" s="5" t="str">
        <f>C168</f>
        <v>CH</v>
      </c>
      <c r="D165" t="s">
        <v>805</v>
      </c>
      <c r="E165" t="str">
        <f>E151</f>
        <v>PJ/yr.</v>
      </c>
      <c r="F165" s="1">
        <f>'[1]Electricity and CHPs'!B32</f>
        <v>0</v>
      </c>
      <c r="G165" s="1">
        <f>'[1]Electricity and CHPs'!C32</f>
        <v>0</v>
      </c>
      <c r="H165" s="1">
        <f>'[1]Electricity and CHPs'!D32</f>
        <v>0</v>
      </c>
      <c r="I165" s="1">
        <f>'[1]Electricity and CHPs'!E32</f>
        <v>0</v>
      </c>
      <c r="J165" s="1">
        <f>'[1]Electricity and CHPs'!F32</f>
        <v>3.6658480908556756E-3</v>
      </c>
      <c r="K165" s="1">
        <f>'[1]Electricity and CHPs'!G32</f>
        <v>2.3471715599023037E-2</v>
      </c>
    </row>
    <row r="166" spans="1:11" x14ac:dyDescent="0.35">
      <c r="A166" s="5" t="str">
        <f t="shared" ref="A166" si="91">A165</f>
        <v>STEM</v>
      </c>
      <c r="B166" s="5" t="str">
        <f t="shared" si="72"/>
        <v>SPS4</v>
      </c>
      <c r="C166" s="5" t="str">
        <f t="shared" ref="C166" si="92">C165</f>
        <v>CH</v>
      </c>
      <c r="D166" t="s">
        <v>90</v>
      </c>
      <c r="E166" t="str">
        <f>E152</f>
        <v>PJ/yr.</v>
      </c>
      <c r="F166" s="1">
        <f>F165</f>
        <v>0</v>
      </c>
      <c r="G166" s="1">
        <f t="shared" ref="G166:K166" si="93">G165</f>
        <v>0</v>
      </c>
      <c r="H166" s="1">
        <f t="shared" si="93"/>
        <v>0</v>
      </c>
      <c r="I166" s="1">
        <f t="shared" si="93"/>
        <v>0</v>
      </c>
      <c r="J166" s="1">
        <f t="shared" si="93"/>
        <v>3.6658480908556756E-3</v>
      </c>
      <c r="K166" s="1">
        <f t="shared" si="93"/>
        <v>2.3471715599023037E-2</v>
      </c>
    </row>
    <row r="167" spans="1:11" x14ac:dyDescent="0.35">
      <c r="A167" s="5" t="str">
        <f>A164</f>
        <v>STEM</v>
      </c>
      <c r="B167" s="5" t="str">
        <f t="shared" si="72"/>
        <v>SPS4</v>
      </c>
      <c r="C167" s="5" t="str">
        <f>C164</f>
        <v>CH</v>
      </c>
      <c r="D167" t="s">
        <v>806</v>
      </c>
      <c r="E167" t="str">
        <f>E164</f>
        <v>PJ/yr.</v>
      </c>
      <c r="F167" s="1">
        <f t="shared" ref="F167:K167" si="94">SUM(F168:F170)</f>
        <v>0</v>
      </c>
      <c r="G167" s="1">
        <f t="shared" si="94"/>
        <v>0</v>
      </c>
      <c r="H167" s="1">
        <f t="shared" si="94"/>
        <v>0</v>
      </c>
      <c r="I167" s="1">
        <f t="shared" si="94"/>
        <v>0</v>
      </c>
      <c r="J167" s="1">
        <f t="shared" si="94"/>
        <v>0</v>
      </c>
      <c r="K167" s="1">
        <f t="shared" si="94"/>
        <v>0</v>
      </c>
    </row>
    <row r="168" spans="1:11" x14ac:dyDescent="0.35">
      <c r="A168" s="5" t="str">
        <f t="shared" si="85"/>
        <v>STEM</v>
      </c>
      <c r="B168" s="5" t="str">
        <f t="shared" si="72"/>
        <v>SPS4</v>
      </c>
      <c r="C168" s="5" t="str">
        <f t="shared" si="86"/>
        <v>CH</v>
      </c>
      <c r="D168" t="s">
        <v>77</v>
      </c>
      <c r="E168" t="str">
        <f>E85</f>
        <v>PJ/yr.</v>
      </c>
      <c r="F168" s="1">
        <f>'[1]Electricity and CHPs'!B30</f>
        <v>0</v>
      </c>
      <c r="G168" s="1">
        <f>'[1]Electricity and CHPs'!C30</f>
        <v>0</v>
      </c>
      <c r="H168" s="1">
        <f>'[1]Electricity and CHPs'!D30</f>
        <v>0</v>
      </c>
      <c r="I168" s="1">
        <f>'[1]Electricity and CHPs'!E30</f>
        <v>0</v>
      </c>
      <c r="J168" s="1">
        <f>'[1]Electricity and CHPs'!F30</f>
        <v>0</v>
      </c>
      <c r="K168" s="1">
        <f>'[1]Electricity and CHPs'!G30</f>
        <v>0</v>
      </c>
    </row>
    <row r="169" spans="1:11" x14ac:dyDescent="0.35">
      <c r="A169" s="5" t="str">
        <f>A165</f>
        <v>STEM</v>
      </c>
      <c r="B169" s="5" t="str">
        <f t="shared" si="72"/>
        <v>SPS4</v>
      </c>
      <c r="C169" s="5" t="str">
        <f>C165</f>
        <v>CH</v>
      </c>
      <c r="D169" t="s">
        <v>78</v>
      </c>
      <c r="E169" t="str">
        <f>E134</f>
        <v>PJ/yr.</v>
      </c>
      <c r="F169" s="1">
        <f>'[1]Electricity and CHPs'!B46</f>
        <v>0</v>
      </c>
      <c r="G169" s="1">
        <f>'[1]Electricity and CHPs'!C46</f>
        <v>0</v>
      </c>
      <c r="H169" s="1">
        <f>'[1]Electricity and CHPs'!D46</f>
        <v>0</v>
      </c>
      <c r="I169" s="1">
        <f>'[1]Electricity and CHPs'!E46</f>
        <v>0</v>
      </c>
      <c r="J169" s="1">
        <f>'[1]Electricity and CHPs'!F46</f>
        <v>0</v>
      </c>
      <c r="K169" s="1">
        <f>'[1]Electricity and CHPs'!G46</f>
        <v>0</v>
      </c>
    </row>
    <row r="170" spans="1:11" x14ac:dyDescent="0.35">
      <c r="A170" s="5" t="str">
        <f t="shared" si="85"/>
        <v>STEM</v>
      </c>
      <c r="B170" s="5" t="str">
        <f t="shared" si="72"/>
        <v>SPS4</v>
      </c>
      <c r="C170" s="5" t="str">
        <f t="shared" si="86"/>
        <v>CH</v>
      </c>
      <c r="D170" t="s">
        <v>234</v>
      </c>
      <c r="E170" t="str">
        <f t="shared" ref="E170:E178" si="95">E156</f>
        <v>PJ/yr.</v>
      </c>
      <c r="F170" s="1">
        <f>'[1]Electricity and CHPs'!B57</f>
        <v>0</v>
      </c>
      <c r="G170" s="1">
        <f>'[1]Electricity and CHPs'!C57</f>
        <v>0</v>
      </c>
      <c r="H170" s="1">
        <f>'[1]Electricity and CHPs'!D57</f>
        <v>0</v>
      </c>
      <c r="I170" s="1">
        <f>'[1]Electricity and CHPs'!E57</f>
        <v>0</v>
      </c>
      <c r="J170" s="1">
        <f>'[1]Electricity and CHPs'!F57</f>
        <v>0</v>
      </c>
      <c r="K170" s="1">
        <f>'[1]Electricity and CHPs'!G57</f>
        <v>0</v>
      </c>
    </row>
    <row r="171" spans="1:11" x14ac:dyDescent="0.35">
      <c r="A171" s="5" t="str">
        <f t="shared" si="85"/>
        <v>STEM</v>
      </c>
      <c r="B171" s="5" t="str">
        <f t="shared" si="72"/>
        <v>SPS4</v>
      </c>
      <c r="C171" s="5" t="str">
        <f t="shared" si="86"/>
        <v>CH</v>
      </c>
      <c r="D171" t="s">
        <v>807</v>
      </c>
      <c r="E171" t="str">
        <f t="shared" si="95"/>
        <v>PJ/yr.</v>
      </c>
      <c r="F171" s="1">
        <f>SUM(F172:F178)</f>
        <v>0.10731717517950259</v>
      </c>
      <c r="G171" s="1">
        <f t="shared" ref="G171:K171" si="96">SUM(G172:G178)</f>
        <v>1.9863086860365191E-2</v>
      </c>
      <c r="H171" s="1">
        <f t="shared" si="96"/>
        <v>0.1072207702407745</v>
      </c>
      <c r="I171" s="1">
        <f t="shared" si="96"/>
        <v>0.21741507721997588</v>
      </c>
      <c r="J171" s="1">
        <f t="shared" si="96"/>
        <v>0.55281529956851483</v>
      </c>
      <c r="K171" s="1">
        <f t="shared" si="96"/>
        <v>1.1753018112826576</v>
      </c>
    </row>
    <row r="172" spans="1:11" x14ac:dyDescent="0.35">
      <c r="A172" s="5" t="str">
        <f t="shared" si="85"/>
        <v>STEM</v>
      </c>
      <c r="B172" s="5" t="str">
        <f t="shared" si="72"/>
        <v>SPS4</v>
      </c>
      <c r="C172" s="5" t="str">
        <f t="shared" si="86"/>
        <v>CH</v>
      </c>
      <c r="D172" t="s">
        <v>79</v>
      </c>
      <c r="E172" t="str">
        <f t="shared" si="95"/>
        <v>PJ/yr.</v>
      </c>
      <c r="F172" s="1">
        <f>'[1]Electricity and CHPs'!B70</f>
        <v>9.4552818867075186E-2</v>
      </c>
      <c r="G172" s="1">
        <f>'[1]Electricity and CHPs'!C70</f>
        <v>8.5653396071115311E-3</v>
      </c>
      <c r="H172" s="1">
        <f>'[1]Electricity and CHPs'!D70</f>
        <v>9.4511491869957734E-2</v>
      </c>
      <c r="I172" s="1">
        <f>'[1]Electricity and CHPs'!E70</f>
        <v>3.7705700703371807E-2</v>
      </c>
      <c r="J172" s="1">
        <f>'[1]Electricity and CHPs'!F70</f>
        <v>9.4464787901083758E-2</v>
      </c>
      <c r="K172" s="1">
        <f>'[1]Electricity and CHPs'!G70</f>
        <v>9.4498112511364682E-2</v>
      </c>
    </row>
    <row r="173" spans="1:11" x14ac:dyDescent="0.35">
      <c r="A173" s="5" t="str">
        <f t="shared" si="85"/>
        <v>STEM</v>
      </c>
      <c r="B173" s="5" t="str">
        <f t="shared" si="72"/>
        <v>SPS4</v>
      </c>
      <c r="C173" s="5" t="str">
        <f t="shared" si="86"/>
        <v>CH</v>
      </c>
      <c r="D173" t="s">
        <v>80</v>
      </c>
      <c r="E173" t="str">
        <f t="shared" si="95"/>
        <v>PJ/yr.</v>
      </c>
      <c r="F173" s="1">
        <f>'[1]Electricity and CHPs'!B71</f>
        <v>3.5016827323279287E-3</v>
      </c>
      <c r="G173" s="1">
        <f>'[1]Electricity and CHPs'!C71</f>
        <v>2.7479167992972074E-3</v>
      </c>
      <c r="H173" s="1">
        <f>'[1]Electricity and CHPs'!D71</f>
        <v>3.5095655414663328E-3</v>
      </c>
      <c r="I173" s="1">
        <f>'[1]Electricity and CHPs'!E71</f>
        <v>3.2037191212764614E-3</v>
      </c>
      <c r="J173" s="1">
        <f>'[1]Electricity and CHPs'!F71</f>
        <v>8.8165772223394862E-2</v>
      </c>
      <c r="K173" s="1">
        <f>'[1]Electricity and CHPs'!G71</f>
        <v>0.56566588999772205</v>
      </c>
    </row>
    <row r="174" spans="1:11" x14ac:dyDescent="0.35">
      <c r="A174" s="5" t="str">
        <f t="shared" si="85"/>
        <v>STEM</v>
      </c>
      <c r="B174" s="5" t="str">
        <f t="shared" si="72"/>
        <v>SPS4</v>
      </c>
      <c r="C174" s="5" t="str">
        <f t="shared" si="86"/>
        <v>CH</v>
      </c>
      <c r="D174" t="s">
        <v>81</v>
      </c>
      <c r="E174" t="str">
        <f t="shared" si="95"/>
        <v>PJ/yr.</v>
      </c>
      <c r="F174" s="1">
        <f>'[1]Electricity and CHPs'!B72</f>
        <v>3.1763917290292521E-3</v>
      </c>
      <c r="G174" s="1">
        <f>'[1]Electricity and CHPs'!C72</f>
        <v>2.5180067806022622E-3</v>
      </c>
      <c r="H174" s="1">
        <f>'[1]Electricity and CHPs'!D72</f>
        <v>3.1486225741633408E-3</v>
      </c>
      <c r="I174" s="1">
        <f>'[1]Electricity and CHPs'!E72</f>
        <v>3.0136556763636028E-3</v>
      </c>
      <c r="J174" s="1">
        <f>'[1]Electricity and CHPs'!F72</f>
        <v>1.3904201086758277E-2</v>
      </c>
      <c r="K174" s="1">
        <f>'[1]Electricity and CHPs'!G72</f>
        <v>2.2980242426084957E-2</v>
      </c>
    </row>
    <row r="175" spans="1:11" x14ac:dyDescent="0.35">
      <c r="A175" s="5" t="str">
        <f t="shared" si="85"/>
        <v>STEM</v>
      </c>
      <c r="B175" s="5" t="str">
        <f t="shared" si="72"/>
        <v>SPS4</v>
      </c>
      <c r="C175" s="5" t="str">
        <f t="shared" si="86"/>
        <v>CH</v>
      </c>
      <c r="D175" t="s">
        <v>82</v>
      </c>
      <c r="E175" t="str">
        <f t="shared" si="95"/>
        <v>PJ/yr.</v>
      </c>
      <c r="F175" s="1">
        <f>'[1]Electricity and CHPs'!B73</f>
        <v>1.0137445914231039E-3</v>
      </c>
      <c r="G175" s="1">
        <f>'[1]Electricity and CHPs'!C73</f>
        <v>1.0047477247253289E-3</v>
      </c>
      <c r="H175" s="1">
        <f>'[1]Electricity and CHPs'!D73</f>
        <v>1.0062771728177615E-3</v>
      </c>
      <c r="I175" s="1">
        <f>'[1]Electricity and CHPs'!E73</f>
        <v>3.359084127633917E-2</v>
      </c>
      <c r="J175" s="1">
        <f>'[1]Electricity and CHPs'!F73</f>
        <v>0.25749173705370604</v>
      </c>
      <c r="K175" s="1">
        <f>'[1]Electricity and CHPs'!G73</f>
        <v>0.42489714576489596</v>
      </c>
    </row>
    <row r="176" spans="1:11" x14ac:dyDescent="0.35">
      <c r="A176" s="5" t="str">
        <f t="shared" si="85"/>
        <v>STEM</v>
      </c>
      <c r="B176" s="5" t="str">
        <f t="shared" si="85"/>
        <v>SPS4</v>
      </c>
      <c r="C176" s="5" t="str">
        <f t="shared" si="86"/>
        <v>CH</v>
      </c>
      <c r="D176" t="s">
        <v>1853</v>
      </c>
      <c r="E176" t="str">
        <f t="shared" si="95"/>
        <v>PJ/yr.</v>
      </c>
      <c r="F176" s="1">
        <f>'[1]Electricity and CHPs'!B74</f>
        <v>2.027579598073208E-3</v>
      </c>
      <c r="G176" s="1">
        <f>'[1]Electricity and CHPs'!C74</f>
        <v>2.0093612367069326E-3</v>
      </c>
      <c r="H176" s="1">
        <f>'[1]Electricity and CHPs'!D74</f>
        <v>2.0145704277232637E-3</v>
      </c>
      <c r="I176" s="1">
        <f>'[1]Electricity and CHPs'!E74</f>
        <v>5.3416043332305173E-2</v>
      </c>
      <c r="J176" s="1">
        <f>'[1]Electricity and CHPs'!F74</f>
        <v>3.4074882520815045E-2</v>
      </c>
      <c r="K176" s="1">
        <f>'[1]Electricity and CHPs'!G74</f>
        <v>2.5341266888554387E-2</v>
      </c>
    </row>
    <row r="177" spans="1:11" x14ac:dyDescent="0.35">
      <c r="A177" s="5" t="str">
        <f t="shared" si="85"/>
        <v>STEM</v>
      </c>
      <c r="B177" s="5" t="str">
        <f t="shared" si="85"/>
        <v>SPS4</v>
      </c>
      <c r="C177" s="5" t="str">
        <f t="shared" si="86"/>
        <v>CH</v>
      </c>
      <c r="D177" t="s">
        <v>83</v>
      </c>
      <c r="E177" t="str">
        <f t="shared" si="95"/>
        <v>PJ/yr.</v>
      </c>
      <c r="F177" s="1">
        <f>'[1]Electricity and CHPs'!B75</f>
        <v>2.0270786978741442E-3</v>
      </c>
      <c r="G177" s="1">
        <f>'[1]Electricity and CHPs'!C75</f>
        <v>2.0088476536559846E-3</v>
      </c>
      <c r="H177" s="1">
        <f>'[1]Electricity and CHPs'!D75</f>
        <v>2.0184915505975687E-3</v>
      </c>
      <c r="I177" s="1">
        <f>'[1]Electricity and CHPs'!E75</f>
        <v>5.3625198532973102E-2</v>
      </c>
      <c r="J177" s="1">
        <f>'[1]Electricity and CHPs'!F75</f>
        <v>3.8937443325687576E-2</v>
      </c>
      <c r="K177" s="1">
        <f>'[1]Electricity and CHPs'!G75</f>
        <v>2.5339454025200228E-2</v>
      </c>
    </row>
    <row r="178" spans="1:11" x14ac:dyDescent="0.35">
      <c r="A178" s="5" t="str">
        <f t="shared" si="85"/>
        <v>STEM</v>
      </c>
      <c r="B178" s="5" t="str">
        <f t="shared" si="85"/>
        <v>SPS4</v>
      </c>
      <c r="C178" s="5" t="str">
        <f t="shared" si="86"/>
        <v>CH</v>
      </c>
      <c r="D178" t="s">
        <v>87</v>
      </c>
      <c r="E178" t="str">
        <f t="shared" si="95"/>
        <v>PJ/yr.</v>
      </c>
      <c r="F178" s="1">
        <f>'[1]Electricity and CHPs'!B76</f>
        <v>1.0178789636997715E-3</v>
      </c>
      <c r="G178" s="1">
        <f>'[1]Electricity and CHPs'!C76</f>
        <v>1.008867058265944E-3</v>
      </c>
      <c r="H178" s="1">
        <f>'[1]Electricity and CHPs'!D76</f>
        <v>1.0117511040484981E-3</v>
      </c>
      <c r="I178" s="1">
        <f>'[1]Electricity and CHPs'!E76</f>
        <v>3.2859918577346561E-2</v>
      </c>
      <c r="J178" s="1">
        <f>'[1]Electricity and CHPs'!F76</f>
        <v>2.5776475457069247E-2</v>
      </c>
      <c r="K178" s="1">
        <f>'[1]Electricity and CHPs'!G76</f>
        <v>1.6579699668835109E-2</v>
      </c>
    </row>
    <row r="179" spans="1:11" x14ac:dyDescent="0.35">
      <c r="A179" s="9" t="str">
        <f t="shared" si="85"/>
        <v>STEM</v>
      </c>
      <c r="B179" s="9" t="str">
        <f t="shared" si="85"/>
        <v>SPS4</v>
      </c>
      <c r="C179" s="2" t="str">
        <f t="shared" si="86"/>
        <v>CH</v>
      </c>
      <c r="D179" s="2" t="s">
        <v>152</v>
      </c>
      <c r="E179" s="2" t="str">
        <f>E167</f>
        <v>PJ/yr.</v>
      </c>
      <c r="F179" s="3">
        <f>SUM(F180,F231)</f>
        <v>29.601202977441186</v>
      </c>
      <c r="G179" s="3">
        <f t="shared" ref="G179:K179" si="97">SUM(G180,G231)</f>
        <v>33.735093250289651</v>
      </c>
      <c r="H179" s="3">
        <f t="shared" si="97"/>
        <v>31.226320392308956</v>
      </c>
      <c r="I179" s="3">
        <f t="shared" si="97"/>
        <v>34.900973951773146</v>
      </c>
      <c r="J179" s="3">
        <f t="shared" si="97"/>
        <v>69.543832554061709</v>
      </c>
      <c r="K179" s="3">
        <f t="shared" si="97"/>
        <v>87.48792525265047</v>
      </c>
    </row>
    <row r="180" spans="1:11" x14ac:dyDescent="0.35">
      <c r="A180" s="5" t="s">
        <v>5</v>
      </c>
      <c r="B180" s="5" t="str">
        <f t="shared" ref="B180:B243" si="98">B179</f>
        <v>SPS4</v>
      </c>
      <c r="C180" s="5" t="s">
        <v>7</v>
      </c>
      <c r="D180" t="s">
        <v>808</v>
      </c>
      <c r="E180" t="str">
        <f>E168</f>
        <v>PJ/yr.</v>
      </c>
      <c r="F180" s="1">
        <f t="shared" ref="F180:K180" si="99">F181+F208</f>
        <v>23.058040061017124</v>
      </c>
      <c r="G180" s="1">
        <f t="shared" si="99"/>
        <v>25.545071657231556</v>
      </c>
      <c r="H180" s="1">
        <f t="shared" si="99"/>
        <v>23.662278542625309</v>
      </c>
      <c r="I180" s="1">
        <f t="shared" si="99"/>
        <v>24.821053389705774</v>
      </c>
      <c r="J180" s="1">
        <f t="shared" si="99"/>
        <v>25.771314925346221</v>
      </c>
      <c r="K180" s="1">
        <f t="shared" si="99"/>
        <v>26.956793565781528</v>
      </c>
    </row>
    <row r="181" spans="1:11" x14ac:dyDescent="0.35">
      <c r="A181" s="5" t="s">
        <v>5</v>
      </c>
      <c r="B181" s="5" t="str">
        <f t="shared" si="98"/>
        <v>SPS4</v>
      </c>
      <c r="C181" s="5" t="s">
        <v>7</v>
      </c>
      <c r="D181" t="s">
        <v>823</v>
      </c>
      <c r="E181" t="str">
        <f>E165</f>
        <v>PJ/yr.</v>
      </c>
      <c r="F181" s="1">
        <f t="shared" ref="F181:K181" si="100">SUM(F183,F187,F188,F196,F197,F205,F207)</f>
        <v>17.654541499650108</v>
      </c>
      <c r="G181" s="1">
        <f t="shared" si="100"/>
        <v>13.508097024937515</v>
      </c>
      <c r="H181" s="1">
        <f t="shared" si="100"/>
        <v>13.659061516134312</v>
      </c>
      <c r="I181" s="1">
        <f t="shared" si="100"/>
        <v>15.440246904826116</v>
      </c>
      <c r="J181" s="1">
        <f t="shared" si="100"/>
        <v>17.67153786644247</v>
      </c>
      <c r="K181" s="1">
        <f t="shared" si="100"/>
        <v>21.334042145033063</v>
      </c>
    </row>
    <row r="182" spans="1:11" x14ac:dyDescent="0.35">
      <c r="A182" s="5" t="s">
        <v>5</v>
      </c>
      <c r="B182" s="5" t="str">
        <f t="shared" si="98"/>
        <v>SPS4</v>
      </c>
      <c r="C182" s="5" t="s">
        <v>7</v>
      </c>
      <c r="D182" t="s">
        <v>809</v>
      </c>
      <c r="E182" t="s">
        <v>8</v>
      </c>
      <c r="F182" s="1">
        <f>F183</f>
        <v>9.2802403957472409E-3</v>
      </c>
      <c r="G182" s="1">
        <f t="shared" ref="G182:K182" si="101">G183</f>
        <v>3.6815133301451092E-4</v>
      </c>
      <c r="H182" s="1">
        <f t="shared" si="101"/>
        <v>4.6143296504641907E-3</v>
      </c>
      <c r="I182" s="1">
        <f t="shared" si="101"/>
        <v>1.4001106534792611E-3</v>
      </c>
      <c r="J182" s="1">
        <f t="shared" si="101"/>
        <v>2.8205141243615537E-3</v>
      </c>
      <c r="K182" s="1">
        <f t="shared" si="101"/>
        <v>1.6914675254308014E-3</v>
      </c>
    </row>
    <row r="183" spans="1:11" x14ac:dyDescent="0.35">
      <c r="A183" s="5" t="s">
        <v>5</v>
      </c>
      <c r="B183" s="5" t="str">
        <f t="shared" si="98"/>
        <v>SPS4</v>
      </c>
      <c r="C183" s="5" t="s">
        <v>7</v>
      </c>
      <c r="D183" t="s">
        <v>229</v>
      </c>
      <c r="E183" t="s">
        <v>8</v>
      </c>
      <c r="F183" s="1">
        <f>'[1]Electricity and CHPs'!B$94</f>
        <v>9.2802403957472409E-3</v>
      </c>
      <c r="G183" s="1">
        <f>'[1]Electricity and CHPs'!C$94</f>
        <v>3.6815133301451092E-4</v>
      </c>
      <c r="H183" s="1">
        <f>'[1]Electricity and CHPs'!D$94</f>
        <v>4.6143296504641907E-3</v>
      </c>
      <c r="I183" s="1">
        <f>'[1]Electricity and CHPs'!E$94</f>
        <v>1.4001106534792611E-3</v>
      </c>
      <c r="J183" s="1">
        <f>'[1]Electricity and CHPs'!F$94</f>
        <v>2.8205141243615537E-3</v>
      </c>
      <c r="K183" s="1">
        <f>'[1]Electricity and CHPs'!G$94</f>
        <v>1.6914675254308014E-3</v>
      </c>
    </row>
    <row r="184" spans="1:11" x14ac:dyDescent="0.35">
      <c r="A184" s="5" t="s">
        <v>5</v>
      </c>
      <c r="B184" s="5" t="str">
        <f t="shared" si="98"/>
        <v>SPS4</v>
      </c>
      <c r="C184" s="5" t="s">
        <v>7</v>
      </c>
      <c r="D184" t="s">
        <v>517</v>
      </c>
      <c r="E184" t="s">
        <v>8</v>
      </c>
      <c r="F184" s="1">
        <f>F183-F185</f>
        <v>9.2802403957472409E-3</v>
      </c>
      <c r="G184" s="1">
        <f t="shared" ref="G184:K184" si="102">G183-G185</f>
        <v>3.6815133301451092E-4</v>
      </c>
      <c r="H184" s="1">
        <f t="shared" si="102"/>
        <v>4.6143296504641907E-3</v>
      </c>
      <c r="I184" s="1">
        <f t="shared" si="102"/>
        <v>1.4001106534792611E-3</v>
      </c>
      <c r="J184" s="1">
        <f t="shared" si="102"/>
        <v>2.8205141243615537E-3</v>
      </c>
      <c r="K184" s="1">
        <f t="shared" si="102"/>
        <v>1.6914675254308014E-3</v>
      </c>
    </row>
    <row r="185" spans="1:11" x14ac:dyDescent="0.35">
      <c r="A185" s="5" t="s">
        <v>5</v>
      </c>
      <c r="B185" s="5" t="str">
        <f t="shared" si="98"/>
        <v>SPS4</v>
      </c>
      <c r="C185" s="5" t="s">
        <v>7</v>
      </c>
      <c r="D185" t="s">
        <v>541</v>
      </c>
      <c r="E185" t="s">
        <v>8</v>
      </c>
      <c r="F185" s="1">
        <f t="shared" ref="F185:K185" si="103">F183*IFERROR(F78/F74,0)</f>
        <v>0</v>
      </c>
      <c r="G185" s="1">
        <f t="shared" si="103"/>
        <v>0</v>
      </c>
      <c r="H185" s="1">
        <f t="shared" si="103"/>
        <v>0</v>
      </c>
      <c r="I185" s="1">
        <f t="shared" si="103"/>
        <v>0</v>
      </c>
      <c r="J185" s="1">
        <f t="shared" si="103"/>
        <v>0</v>
      </c>
      <c r="K185" s="1">
        <f t="shared" si="103"/>
        <v>0</v>
      </c>
    </row>
    <row r="186" spans="1:11" x14ac:dyDescent="0.35">
      <c r="A186" s="5" t="s">
        <v>5</v>
      </c>
      <c r="B186" s="5" t="str">
        <f t="shared" si="98"/>
        <v>SPS4</v>
      </c>
      <c r="C186" s="5" t="s">
        <v>7</v>
      </c>
      <c r="D186" t="s">
        <v>810</v>
      </c>
      <c r="E186" t="s">
        <v>8</v>
      </c>
      <c r="F186" s="1">
        <f>SUM(F187:F188)</f>
        <v>1.8035578924335971</v>
      </c>
      <c r="G186" s="1">
        <f t="shared" ref="G186:K186" si="104">SUM(G187:G188)</f>
        <v>9.4462097596622837E-4</v>
      </c>
      <c r="H186" s="1">
        <f t="shared" si="104"/>
        <v>4.498352035790909E-3</v>
      </c>
      <c r="I186" s="1">
        <f t="shared" si="104"/>
        <v>6.4733206188135667E-3</v>
      </c>
      <c r="J186" s="1">
        <f t="shared" si="104"/>
        <v>1.5305006864291468</v>
      </c>
      <c r="K186" s="1">
        <f t="shared" si="104"/>
        <v>4.7645900484587509</v>
      </c>
    </row>
    <row r="187" spans="1:11" x14ac:dyDescent="0.35">
      <c r="A187" s="5" t="s">
        <v>5</v>
      </c>
      <c r="B187" s="5" t="str">
        <f t="shared" si="98"/>
        <v>SPS4</v>
      </c>
      <c r="C187" s="5" t="s">
        <v>7</v>
      </c>
      <c r="D187" t="s">
        <v>153</v>
      </c>
      <c r="E187" t="s">
        <v>8</v>
      </c>
      <c r="F187" s="1">
        <f>'[1]Electricity and CHPs'!B$91</f>
        <v>1.8035578924335971</v>
      </c>
      <c r="G187" s="1">
        <f>'[1]Electricity and CHPs'!C$91</f>
        <v>9.4462097596622837E-4</v>
      </c>
      <c r="H187" s="1">
        <f>'[1]Electricity and CHPs'!D$91</f>
        <v>4.498352035790909E-3</v>
      </c>
      <c r="I187" s="1">
        <f>'[1]Electricity and CHPs'!E$91</f>
        <v>6.4733206188135667E-3</v>
      </c>
      <c r="J187" s="1">
        <f>'[1]Electricity and CHPs'!F$91</f>
        <v>1.0005545683989538</v>
      </c>
      <c r="K187" s="1">
        <f>'[1]Electricity and CHPs'!G$91</f>
        <v>1.9769609139696103</v>
      </c>
    </row>
    <row r="188" spans="1:11" x14ac:dyDescent="0.35">
      <c r="A188" s="5" t="s">
        <v>5</v>
      </c>
      <c r="B188" s="5" t="str">
        <f t="shared" si="98"/>
        <v>SPS4</v>
      </c>
      <c r="C188" s="5" t="s">
        <v>7</v>
      </c>
      <c r="D188" t="s">
        <v>154</v>
      </c>
      <c r="E188" t="s">
        <v>8</v>
      </c>
      <c r="F188" s="1">
        <f>'[1]Electricity and CHPs'!B$95</f>
        <v>0</v>
      </c>
      <c r="G188" s="1">
        <f>'[1]Electricity and CHPs'!C$95</f>
        <v>0</v>
      </c>
      <c r="H188" s="1">
        <f>'[1]Electricity and CHPs'!D$95</f>
        <v>0</v>
      </c>
      <c r="I188" s="1">
        <f>'[1]Electricity and CHPs'!E$95</f>
        <v>0</v>
      </c>
      <c r="J188" s="1">
        <f>'[1]Electricity and CHPs'!F$95</f>
        <v>0.52994611803019287</v>
      </c>
      <c r="K188" s="1">
        <f>'[1]Electricity and CHPs'!G$95</f>
        <v>2.7876291344891406</v>
      </c>
    </row>
    <row r="189" spans="1:11" x14ac:dyDescent="0.35">
      <c r="A189" s="5"/>
      <c r="B189" s="5" t="str">
        <f t="shared" si="98"/>
        <v>SPS4</v>
      </c>
      <c r="C189" s="5" t="str">
        <f>C188</f>
        <v>CH</v>
      </c>
      <c r="D189" t="s">
        <v>811</v>
      </c>
      <c r="E189" t="s">
        <v>8</v>
      </c>
      <c r="F189" s="1">
        <f>SUM(F190:F191)</f>
        <v>1.7579322289407662</v>
      </c>
      <c r="G189" s="1">
        <f t="shared" ref="G189:K189" si="105">SUM(G190:G191)</f>
        <v>9.2573461638072196E-4</v>
      </c>
      <c r="H189" s="1">
        <f t="shared" si="105"/>
        <v>4.2085948043350772E-3</v>
      </c>
      <c r="I189" s="1">
        <f t="shared" si="105"/>
        <v>5.9107537224288654E-3</v>
      </c>
      <c r="J189" s="1">
        <f t="shared" si="105"/>
        <v>1.4868811637528174</v>
      </c>
      <c r="K189" s="1">
        <f t="shared" si="105"/>
        <v>4.7038019165846521</v>
      </c>
    </row>
    <row r="190" spans="1:11" x14ac:dyDescent="0.35">
      <c r="A190" s="5" t="s">
        <v>5</v>
      </c>
      <c r="B190" s="5" t="str">
        <f t="shared" si="98"/>
        <v>SPS4</v>
      </c>
      <c r="C190" s="5" t="s">
        <v>7</v>
      </c>
      <c r="D190" t="s">
        <v>567</v>
      </c>
      <c r="E190" t="s">
        <v>8</v>
      </c>
      <c r="F190" s="1">
        <f>F187-F193</f>
        <v>1.7579322289407662</v>
      </c>
      <c r="G190" s="1">
        <f t="shared" ref="G190:K190" si="106">G187-G193</f>
        <v>9.2573461638072196E-4</v>
      </c>
      <c r="H190" s="1">
        <f t="shared" si="106"/>
        <v>4.2085948043350772E-3</v>
      </c>
      <c r="I190" s="1">
        <f t="shared" si="106"/>
        <v>5.9107537224288654E-3</v>
      </c>
      <c r="J190" s="1">
        <f t="shared" si="106"/>
        <v>0.97203859772859147</v>
      </c>
      <c r="K190" s="1">
        <f t="shared" si="106"/>
        <v>1.9517382275420132</v>
      </c>
    </row>
    <row r="191" spans="1:11" x14ac:dyDescent="0.35">
      <c r="A191" s="5" t="s">
        <v>5</v>
      </c>
      <c r="B191" s="5" t="str">
        <f t="shared" si="98"/>
        <v>SPS4</v>
      </c>
      <c r="C191" s="5" t="s">
        <v>7</v>
      </c>
      <c r="D191" t="s">
        <v>568</v>
      </c>
      <c r="E191" t="s">
        <v>8</v>
      </c>
      <c r="F191" s="1">
        <f t="shared" ref="F191:K191" si="107">F188-F194</f>
        <v>0</v>
      </c>
      <c r="G191" s="1">
        <f t="shared" si="107"/>
        <v>0</v>
      </c>
      <c r="H191" s="1">
        <f t="shared" si="107"/>
        <v>0</v>
      </c>
      <c r="I191" s="1">
        <f t="shared" si="107"/>
        <v>0</v>
      </c>
      <c r="J191" s="1">
        <f t="shared" si="107"/>
        <v>0.51484256602422596</v>
      </c>
      <c r="K191" s="1">
        <f t="shared" si="107"/>
        <v>2.7520636890426387</v>
      </c>
    </row>
    <row r="192" spans="1:11" x14ac:dyDescent="0.35">
      <c r="A192" s="5"/>
      <c r="B192" s="5" t="str">
        <f t="shared" si="98"/>
        <v>SPS4</v>
      </c>
      <c r="C192" s="5" t="s">
        <v>7</v>
      </c>
      <c r="D192" t="s">
        <v>812</v>
      </c>
      <c r="E192" t="s">
        <v>8</v>
      </c>
      <c r="F192" s="1">
        <f>SUM(F193:F194)</f>
        <v>4.5625663492831037E-2</v>
      </c>
      <c r="G192" s="1">
        <f t="shared" ref="G192:K192" si="108">SUM(G193:G194)</f>
        <v>1.888635958550645E-5</v>
      </c>
      <c r="H192" s="1">
        <f t="shared" si="108"/>
        <v>2.8975723145583152E-4</v>
      </c>
      <c r="I192" s="1">
        <f t="shared" si="108"/>
        <v>5.6256689638470162E-4</v>
      </c>
      <c r="J192" s="1">
        <f t="shared" si="108"/>
        <v>4.3619522676329313E-2</v>
      </c>
      <c r="K192" s="1">
        <f t="shared" si="108"/>
        <v>6.0788131874099142E-2</v>
      </c>
    </row>
    <row r="193" spans="1:11" x14ac:dyDescent="0.35">
      <c r="A193" s="5" t="s">
        <v>5</v>
      </c>
      <c r="B193" s="5" t="str">
        <f t="shared" si="98"/>
        <v>SPS4</v>
      </c>
      <c r="C193" s="5" t="s">
        <v>7</v>
      </c>
      <c r="D193" t="s">
        <v>628</v>
      </c>
      <c r="E193" t="s">
        <v>8</v>
      </c>
      <c r="F193" s="1">
        <f t="shared" ref="F193:K194" si="109">F187*IFERROR(F116/F84,0)</f>
        <v>4.5625663492831037E-2</v>
      </c>
      <c r="G193" s="1">
        <f t="shared" si="109"/>
        <v>1.888635958550645E-5</v>
      </c>
      <c r="H193" s="1">
        <f t="shared" si="109"/>
        <v>2.8975723145583152E-4</v>
      </c>
      <c r="I193" s="1">
        <f t="shared" si="109"/>
        <v>5.6256689638470162E-4</v>
      </c>
      <c r="J193" s="1">
        <f t="shared" si="109"/>
        <v>2.8515970670362392E-2</v>
      </c>
      <c r="K193" s="1">
        <f t="shared" si="109"/>
        <v>2.5222686427596994E-2</v>
      </c>
    </row>
    <row r="194" spans="1:11" x14ac:dyDescent="0.35">
      <c r="A194" s="5" t="s">
        <v>5</v>
      </c>
      <c r="B194" s="5" t="str">
        <f t="shared" si="98"/>
        <v>SPS4</v>
      </c>
      <c r="C194" s="5" t="s">
        <v>7</v>
      </c>
      <c r="D194" t="s">
        <v>629</v>
      </c>
      <c r="E194" t="s">
        <v>8</v>
      </c>
      <c r="F194" s="1">
        <f t="shared" si="109"/>
        <v>0</v>
      </c>
      <c r="G194" s="1">
        <f t="shared" si="109"/>
        <v>0</v>
      </c>
      <c r="H194" s="1">
        <f t="shared" si="109"/>
        <v>0</v>
      </c>
      <c r="I194" s="1">
        <f t="shared" si="109"/>
        <v>0</v>
      </c>
      <c r="J194" s="1">
        <f t="shared" si="109"/>
        <v>1.5103552005966919E-2</v>
      </c>
      <c r="K194" s="1">
        <f t="shared" si="109"/>
        <v>3.5565445446502149E-2</v>
      </c>
    </row>
    <row r="195" spans="1:11" x14ac:dyDescent="0.35">
      <c r="A195" s="5" t="s">
        <v>5</v>
      </c>
      <c r="B195" s="5" t="str">
        <f t="shared" si="98"/>
        <v>SPS4</v>
      </c>
      <c r="C195" s="5" t="s">
        <v>7</v>
      </c>
      <c r="D195" t="s">
        <v>813</v>
      </c>
      <c r="E195" t="s">
        <v>8</v>
      </c>
      <c r="F195" s="1">
        <f>SUM(F196:F197)</f>
        <v>14.461273823205698</v>
      </c>
      <c r="G195" s="1">
        <f t="shared" ref="G195:K195" si="110">SUM(G196:G197)</f>
        <v>13.051652368285692</v>
      </c>
      <c r="H195" s="1">
        <f t="shared" si="110"/>
        <v>13.178172808053755</v>
      </c>
      <c r="I195" s="1">
        <f t="shared" si="110"/>
        <v>12.779638775435993</v>
      </c>
      <c r="J195" s="1">
        <f t="shared" si="110"/>
        <v>12.034793575810651</v>
      </c>
      <c r="K195" s="1">
        <f t="shared" si="110"/>
        <v>11.399076465848967</v>
      </c>
    </row>
    <row r="196" spans="1:11" x14ac:dyDescent="0.35">
      <c r="A196" s="5" t="s">
        <v>5</v>
      </c>
      <c r="B196" s="5" t="str">
        <f t="shared" si="98"/>
        <v>SPS4</v>
      </c>
      <c r="C196" s="5" t="s">
        <v>7</v>
      </c>
      <c r="D196" t="s">
        <v>155</v>
      </c>
      <c r="E196" t="s">
        <v>8</v>
      </c>
      <c r="F196" s="1">
        <f>'[1]Electricity and CHPs'!B$93-F197</f>
        <v>14.461273823205698</v>
      </c>
      <c r="G196" s="1">
        <f>'[1]Electricity and CHPs'!C$93-G197</f>
        <v>13.051652368285692</v>
      </c>
      <c r="H196" s="1">
        <f>'[1]Electricity and CHPs'!D$93-H197</f>
        <v>13.178172808053755</v>
      </c>
      <c r="I196" s="1">
        <f>'[1]Electricity and CHPs'!E$93-I197</f>
        <v>12.779638775435993</v>
      </c>
      <c r="J196" s="1">
        <f>'[1]Electricity and CHPs'!F$93-J197</f>
        <v>12.034793575810651</v>
      </c>
      <c r="K196" s="1">
        <f>'[1]Electricity and CHPs'!G$93-K197</f>
        <v>11.399076465848967</v>
      </c>
    </row>
    <row r="197" spans="1:11" x14ac:dyDescent="0.35">
      <c r="A197" s="5" t="s">
        <v>5</v>
      </c>
      <c r="B197" s="5" t="str">
        <f t="shared" si="98"/>
        <v>SPS4</v>
      </c>
      <c r="C197" s="5" t="s">
        <v>7</v>
      </c>
      <c r="D197" t="s">
        <v>156</v>
      </c>
      <c r="E197" t="s">
        <v>8</v>
      </c>
      <c r="F197" s="1" cm="1">
        <f t="array" ref="F197">SUMPRODUCT(("CHPWSTCCS"=[1]OUT_Electricity_CHP!$B$1:$B$10000)*1,([1]OUT_Electricity_CHP!$C$1:$C$10000="Var_Fout")*1,([1]OUT_Electricity_CHP!$D$1:$D$10000="LTH")*1,[1]OUT_Electricity_CHP!E$1:E$10000)</f>
        <v>0</v>
      </c>
      <c r="G197" s="1" cm="1">
        <f t="array" ref="G197">SUMPRODUCT(("CHPWSTCCS"=[1]OUT_Electricity_CHP!$B$1:$B$10000)*1,([1]OUT_Electricity_CHP!$C$1:$C$10000="Var_Fout")*1,([1]OUT_Electricity_CHP!$D$1:$D$10000="LTH")*1,[1]OUT_Electricity_CHP!F$1:F$10000)</f>
        <v>0</v>
      </c>
      <c r="H197" s="1" cm="1">
        <f t="array" ref="H197">SUMPRODUCT(("CHPWSTCCS"=[1]OUT_Electricity_CHP!$B$1:$B$10000)*1,([1]OUT_Electricity_CHP!$C$1:$C$10000="Var_Fout")*1,([1]OUT_Electricity_CHP!$D$1:$D$10000="LTH")*1,[1]OUT_Electricity_CHP!G$1:G$10000)</f>
        <v>0</v>
      </c>
      <c r="I197" s="1" cm="1">
        <f t="array" ref="I197">SUMPRODUCT(("CHPWSTCCS"=[1]OUT_Electricity_CHP!$B$1:$B$10000)*1,([1]OUT_Electricity_CHP!$C$1:$C$10000="Var_Fout")*1,([1]OUT_Electricity_CHP!$D$1:$D$10000="LTH")*1,[1]OUT_Electricity_CHP!H$1:H$10000)</f>
        <v>0</v>
      </c>
      <c r="J197" s="1" cm="1">
        <f t="array" ref="J197">SUMPRODUCT(("CHPWSTCCS"=[1]OUT_Electricity_CHP!$B$1:$B$10000)*1,([1]OUT_Electricity_CHP!$C$1:$C$10000="Var_Fout")*1,([1]OUT_Electricity_CHP!$D$1:$D$10000="LTH")*1,[1]OUT_Electricity_CHP!I$1:I$10000)</f>
        <v>0</v>
      </c>
      <c r="K197" s="1" cm="1">
        <f t="array" ref="K197">SUMPRODUCT(("CHPWSTCCS"=[1]OUT_Electricity_CHP!$B$1:$B$10000)*1,([1]OUT_Electricity_CHP!$C$1:$C$10000="Var_Fout")*1,([1]OUT_Electricity_CHP!$D$1:$D$10000="LTH")*1,[1]OUT_Electricity_CHP!J$1:J$10000)</f>
        <v>0</v>
      </c>
    </row>
    <row r="198" spans="1:11" x14ac:dyDescent="0.35">
      <c r="A198" s="5" t="s">
        <v>5</v>
      </c>
      <c r="B198" s="5" t="str">
        <f t="shared" si="98"/>
        <v>SPS4</v>
      </c>
      <c r="C198" s="5" t="s">
        <v>7</v>
      </c>
      <c r="D198" t="s">
        <v>814</v>
      </c>
      <c r="E198" t="s">
        <v>8</v>
      </c>
      <c r="F198" s="1">
        <f>SUM(F199:F200)</f>
        <v>7.2306369116028479</v>
      </c>
      <c r="G198" s="1">
        <f t="shared" ref="G198:K198" si="111">SUM(G199:G200)</f>
        <v>6.525826184142848</v>
      </c>
      <c r="H198" s="1">
        <f t="shared" si="111"/>
        <v>6.5890864040268777</v>
      </c>
      <c r="I198" s="1">
        <f t="shared" si="111"/>
        <v>6.3898193877179965</v>
      </c>
      <c r="J198" s="1">
        <f t="shared" si="111"/>
        <v>6.0173967879053247</v>
      </c>
      <c r="K198" s="1">
        <f t="shared" si="111"/>
        <v>5.6995382329244837</v>
      </c>
    </row>
    <row r="199" spans="1:11" x14ac:dyDescent="0.35">
      <c r="A199" s="5" t="s">
        <v>5</v>
      </c>
      <c r="B199" s="5" t="str">
        <f t="shared" si="98"/>
        <v>SPS4</v>
      </c>
      <c r="C199" s="5" t="s">
        <v>7</v>
      </c>
      <c r="D199" t="s">
        <v>157</v>
      </c>
      <c r="E199" t="s">
        <v>8</v>
      </c>
      <c r="F199" s="1">
        <f t="shared" ref="F199:K199" si="112">F196*F138/F131</f>
        <v>7.2306369116028479</v>
      </c>
      <c r="G199" s="1">
        <f t="shared" si="112"/>
        <v>6.525826184142848</v>
      </c>
      <c r="H199" s="1">
        <f t="shared" si="112"/>
        <v>6.5890864040268777</v>
      </c>
      <c r="I199" s="1">
        <f t="shared" si="112"/>
        <v>6.3898193877179965</v>
      </c>
      <c r="J199" s="1">
        <f t="shared" si="112"/>
        <v>6.0173967879053247</v>
      </c>
      <c r="K199" s="1">
        <f t="shared" si="112"/>
        <v>5.6995382329244837</v>
      </c>
    </row>
    <row r="200" spans="1:11" x14ac:dyDescent="0.35">
      <c r="A200" s="5" t="s">
        <v>5</v>
      </c>
      <c r="B200" s="5" t="str">
        <f t="shared" si="98"/>
        <v>SPS4</v>
      </c>
      <c r="C200" s="5" t="s">
        <v>7</v>
      </c>
      <c r="D200" t="s">
        <v>158</v>
      </c>
      <c r="E200" t="s">
        <v>8</v>
      </c>
      <c r="F200" s="1">
        <f t="shared" ref="F200:K200" si="113">F197*IFERROR(F139/F132,0)</f>
        <v>0</v>
      </c>
      <c r="G200" s="1">
        <f t="shared" si="113"/>
        <v>0</v>
      </c>
      <c r="H200" s="1">
        <f t="shared" si="113"/>
        <v>0</v>
      </c>
      <c r="I200" s="1">
        <f t="shared" si="113"/>
        <v>0</v>
      </c>
      <c r="J200" s="1">
        <f t="shared" si="113"/>
        <v>0</v>
      </c>
      <c r="K200" s="1">
        <f t="shared" si="113"/>
        <v>0</v>
      </c>
    </row>
    <row r="201" spans="1:11" x14ac:dyDescent="0.35">
      <c r="A201" s="5" t="s">
        <v>5</v>
      </c>
      <c r="B201" s="5" t="str">
        <f t="shared" si="98"/>
        <v>SPS4</v>
      </c>
      <c r="C201" s="5" t="s">
        <v>7</v>
      </c>
      <c r="D201" t="s">
        <v>815</v>
      </c>
      <c r="E201" t="s">
        <v>8</v>
      </c>
      <c r="F201" s="1">
        <f>SUM(F202:F203)</f>
        <v>7.2306369116028497</v>
      </c>
      <c r="G201" s="1">
        <f t="shared" ref="G201:K201" si="114">SUM(G202:G203)</f>
        <v>6.5258261841428444</v>
      </c>
      <c r="H201" s="1">
        <f t="shared" si="114"/>
        <v>6.5890864040268777</v>
      </c>
      <c r="I201" s="1">
        <f t="shared" si="114"/>
        <v>6.3898193877179965</v>
      </c>
      <c r="J201" s="1">
        <f t="shared" si="114"/>
        <v>6.0173967879053265</v>
      </c>
      <c r="K201" s="1">
        <f t="shared" si="114"/>
        <v>5.6995382329244837</v>
      </c>
    </row>
    <row r="202" spans="1:11" x14ac:dyDescent="0.35">
      <c r="A202" s="5" t="s">
        <v>5</v>
      </c>
      <c r="B202" s="5" t="str">
        <f t="shared" si="98"/>
        <v>SPS4</v>
      </c>
      <c r="C202" s="5" t="s">
        <v>7</v>
      </c>
      <c r="D202" t="s">
        <v>159</v>
      </c>
      <c r="E202" t="s">
        <v>8</v>
      </c>
      <c r="F202" s="1">
        <f t="shared" ref="F202:K203" si="115">F196-F199</f>
        <v>7.2306369116028497</v>
      </c>
      <c r="G202" s="1">
        <f t="shared" si="115"/>
        <v>6.5258261841428444</v>
      </c>
      <c r="H202" s="1">
        <f t="shared" si="115"/>
        <v>6.5890864040268777</v>
      </c>
      <c r="I202" s="1">
        <f t="shared" si="115"/>
        <v>6.3898193877179965</v>
      </c>
      <c r="J202" s="1">
        <f t="shared" si="115"/>
        <v>6.0173967879053265</v>
      </c>
      <c r="K202" s="1">
        <f t="shared" si="115"/>
        <v>5.6995382329244837</v>
      </c>
    </row>
    <row r="203" spans="1:11" x14ac:dyDescent="0.35">
      <c r="A203" s="5" t="s">
        <v>5</v>
      </c>
      <c r="B203" s="5" t="str">
        <f t="shared" si="98"/>
        <v>SPS4</v>
      </c>
      <c r="C203" s="5" t="s">
        <v>7</v>
      </c>
      <c r="D203" t="s">
        <v>160</v>
      </c>
      <c r="E203" t="s">
        <v>8</v>
      </c>
      <c r="F203" s="1">
        <f t="shared" si="115"/>
        <v>0</v>
      </c>
      <c r="G203" s="1">
        <f t="shared" si="115"/>
        <v>0</v>
      </c>
      <c r="H203" s="1">
        <f t="shared" si="115"/>
        <v>0</v>
      </c>
      <c r="I203" s="1">
        <f t="shared" si="115"/>
        <v>0</v>
      </c>
      <c r="J203" s="1">
        <f t="shared" si="115"/>
        <v>0</v>
      </c>
      <c r="K203" s="1">
        <f t="shared" si="115"/>
        <v>0</v>
      </c>
    </row>
    <row r="204" spans="1:11" x14ac:dyDescent="0.35">
      <c r="A204" s="5" t="s">
        <v>5</v>
      </c>
      <c r="B204" s="5" t="str">
        <f t="shared" si="98"/>
        <v>SPS4</v>
      </c>
      <c r="C204" s="5" t="s">
        <v>7</v>
      </c>
      <c r="D204" t="s">
        <v>816</v>
      </c>
      <c r="E204" t="s">
        <v>8</v>
      </c>
      <c r="F204" s="1">
        <f>F205</f>
        <v>1.3804295436150658</v>
      </c>
      <c r="G204" s="1">
        <f t="shared" ref="G204:K204" si="116">G205</f>
        <v>0.45513188434284246</v>
      </c>
      <c r="H204" s="1">
        <f t="shared" si="116"/>
        <v>0.47177602639429966</v>
      </c>
      <c r="I204" s="1">
        <f t="shared" si="116"/>
        <v>2.6527346981178308</v>
      </c>
      <c r="J204" s="1">
        <f t="shared" si="116"/>
        <v>4.1034230900783122</v>
      </c>
      <c r="K204" s="1">
        <f t="shared" si="116"/>
        <v>5.1686841631999139</v>
      </c>
    </row>
    <row r="205" spans="1:11" x14ac:dyDescent="0.35">
      <c r="A205" s="5" t="s">
        <v>5</v>
      </c>
      <c r="B205" s="5" t="str">
        <f t="shared" si="98"/>
        <v>SPS4</v>
      </c>
      <c r="C205" s="5" t="s">
        <v>7</v>
      </c>
      <c r="D205" t="s">
        <v>161</v>
      </c>
      <c r="E205" t="s">
        <v>8</v>
      </c>
      <c r="F205" s="1">
        <f>'[1]Electricity and CHPs'!B$92</f>
        <v>1.3804295436150658</v>
      </c>
      <c r="G205" s="1">
        <f>'[1]Electricity and CHPs'!C$92</f>
        <v>0.45513188434284246</v>
      </c>
      <c r="H205" s="1">
        <f>'[1]Electricity and CHPs'!D$92</f>
        <v>0.47177602639429966</v>
      </c>
      <c r="I205" s="1">
        <f>'[1]Electricity and CHPs'!E$92</f>
        <v>2.6527346981178308</v>
      </c>
      <c r="J205" s="1">
        <f>'[1]Electricity and CHPs'!F$92</f>
        <v>4.1034230900783122</v>
      </c>
      <c r="K205" s="1">
        <f>'[1]Electricity and CHPs'!G$92</f>
        <v>5.1686841631999139</v>
      </c>
    </row>
    <row r="206" spans="1:11" x14ac:dyDescent="0.35">
      <c r="A206" s="5" t="s">
        <v>5</v>
      </c>
      <c r="B206" s="5" t="str">
        <f t="shared" si="98"/>
        <v>SPS4</v>
      </c>
      <c r="C206" s="5" t="s">
        <v>7</v>
      </c>
      <c r="D206" t="s">
        <v>817</v>
      </c>
      <c r="E206" t="s">
        <v>8</v>
      </c>
      <c r="F206" s="1">
        <f>+F207</f>
        <v>0</v>
      </c>
      <c r="G206" s="1">
        <f t="shared" ref="G206:K206" si="117">+G207</f>
        <v>0</v>
      </c>
      <c r="H206" s="1">
        <f t="shared" si="117"/>
        <v>0</v>
      </c>
      <c r="I206" s="1">
        <f t="shared" si="117"/>
        <v>0</v>
      </c>
      <c r="J206" s="1">
        <f t="shared" si="117"/>
        <v>0</v>
      </c>
      <c r="K206" s="1">
        <f t="shared" si="117"/>
        <v>0</v>
      </c>
    </row>
    <row r="207" spans="1:11" x14ac:dyDescent="0.35">
      <c r="A207" s="5" t="s">
        <v>5</v>
      </c>
      <c r="B207" s="5" t="str">
        <f t="shared" si="98"/>
        <v>SPS4</v>
      </c>
      <c r="C207" s="5" t="s">
        <v>7</v>
      </c>
      <c r="D207" t="s">
        <v>162</v>
      </c>
      <c r="E207" t="s">
        <v>8</v>
      </c>
      <c r="F207" s="1">
        <f>'[1]Electricity and CHPs'!B$96</f>
        <v>0</v>
      </c>
      <c r="G207" s="1">
        <f>'[1]Electricity and CHPs'!C$96</f>
        <v>0</v>
      </c>
      <c r="H207" s="1">
        <f>'[1]Electricity and CHPs'!D$96</f>
        <v>0</v>
      </c>
      <c r="I207" s="1">
        <f>'[1]Electricity and CHPs'!E$96</f>
        <v>0</v>
      </c>
      <c r="J207" s="1">
        <f>'[1]Electricity and CHPs'!F$96</f>
        <v>0</v>
      </c>
      <c r="K207" s="1">
        <f>'[1]Electricity and CHPs'!G$96</f>
        <v>0</v>
      </c>
    </row>
    <row r="208" spans="1:11" x14ac:dyDescent="0.35">
      <c r="A208" s="5" t="s">
        <v>5</v>
      </c>
      <c r="B208" s="5" t="str">
        <f t="shared" si="98"/>
        <v>SPS4</v>
      </c>
      <c r="C208" s="5" t="s">
        <v>7</v>
      </c>
      <c r="D208" t="s">
        <v>818</v>
      </c>
      <c r="E208" t="str">
        <f>E165</f>
        <v>PJ/yr.</v>
      </c>
      <c r="F208" s="1">
        <f>SUM(F209,F215,F217,F223,F225,F227,F229)</f>
        <v>5.403498561367015</v>
      </c>
      <c r="G208" s="1">
        <f t="shared" ref="G208:K208" si="118">SUM(G209,G215,G217,G223,G225,G227,G229)</f>
        <v>12.036974632294042</v>
      </c>
      <c r="H208" s="1">
        <f t="shared" si="118"/>
        <v>10.003217026490997</v>
      </c>
      <c r="I208" s="1">
        <f t="shared" si="118"/>
        <v>9.3808064848796562</v>
      </c>
      <c r="J208" s="1">
        <f t="shared" si="118"/>
        <v>8.0997770589037508</v>
      </c>
      <c r="K208" s="1">
        <f t="shared" si="118"/>
        <v>5.6227514207484637</v>
      </c>
    </row>
    <row r="209" spans="1:11" x14ac:dyDescent="0.35">
      <c r="A209" s="5" t="s">
        <v>5</v>
      </c>
      <c r="B209" s="5" t="str">
        <f t="shared" si="98"/>
        <v>SPS4</v>
      </c>
      <c r="C209" s="5" t="s">
        <v>7</v>
      </c>
      <c r="D209" t="s">
        <v>819</v>
      </c>
      <c r="E209" t="str">
        <f>E168</f>
        <v>PJ/yr.</v>
      </c>
      <c r="F209" s="1">
        <f>+F210</f>
        <v>2.6347021286260977</v>
      </c>
      <c r="G209" s="1">
        <f t="shared" ref="G209:K209" si="119">+G210</f>
        <v>3.6431288058659157</v>
      </c>
      <c r="H209" s="1">
        <f t="shared" si="119"/>
        <v>1.8388682998415398</v>
      </c>
      <c r="I209" s="1">
        <f t="shared" si="119"/>
        <v>3.9690365215460188</v>
      </c>
      <c r="J209" s="1">
        <f t="shared" si="119"/>
        <v>3.6470073927584101</v>
      </c>
      <c r="K209" s="1">
        <f t="shared" si="119"/>
        <v>0.91003630035270622</v>
      </c>
    </row>
    <row r="210" spans="1:11" x14ac:dyDescent="0.35">
      <c r="A210" s="5" t="s">
        <v>5</v>
      </c>
      <c r="B210" s="5" t="str">
        <f t="shared" si="98"/>
        <v>SPS4</v>
      </c>
      <c r="C210" s="5" t="s">
        <v>7</v>
      </c>
      <c r="D210" t="s">
        <v>163</v>
      </c>
      <c r="E210" t="str">
        <f>E169</f>
        <v>PJ/yr.</v>
      </c>
      <c r="F210" s="1">
        <f>'[1]Electricity and CHPs'!B$97+F214</f>
        <v>2.6347021286260977</v>
      </c>
      <c r="G210" s="1">
        <f>'[1]Electricity and CHPs'!C$97+G214</f>
        <v>3.6431288058659157</v>
      </c>
      <c r="H210" s="1">
        <f>'[1]Electricity and CHPs'!D$97+H214</f>
        <v>1.8388682998415398</v>
      </c>
      <c r="I210" s="1">
        <f>'[1]Electricity and CHPs'!E$97+I214</f>
        <v>3.9690365215460188</v>
      </c>
      <c r="J210" s="1">
        <f>'[1]Electricity and CHPs'!F$97+J214</f>
        <v>3.6470073927584101</v>
      </c>
      <c r="K210" s="1">
        <f>'[1]Electricity and CHPs'!G$97+K214</f>
        <v>0.91003630035270622</v>
      </c>
    </row>
    <row r="211" spans="1:11" x14ac:dyDescent="0.35">
      <c r="A211" s="5"/>
      <c r="B211" s="5" t="str">
        <f t="shared" si="98"/>
        <v>SPS4</v>
      </c>
      <c r="C211" s="5" t="str">
        <f>C210</f>
        <v>CH</v>
      </c>
      <c r="D211" t="s">
        <v>822</v>
      </c>
      <c r="E211" t="str">
        <f>E170</f>
        <v>PJ/yr.</v>
      </c>
      <c r="F211" s="1">
        <f>F212</f>
        <v>1.7329152114270885</v>
      </c>
      <c r="G211" s="1">
        <f t="shared" ref="G211:K211" si="120">G212</f>
        <v>2.7413492172549532</v>
      </c>
      <c r="H211" s="1">
        <f t="shared" si="120"/>
        <v>0.93708670170805153</v>
      </c>
      <c r="I211" s="1">
        <f t="shared" si="120"/>
        <v>3.0672592498322988</v>
      </c>
      <c r="J211" s="1">
        <f t="shared" si="120"/>
        <v>2.7452260880929478</v>
      </c>
      <c r="K211" s="1">
        <f t="shared" si="120"/>
        <v>8.2524421326983788E-3</v>
      </c>
    </row>
    <row r="212" spans="1:11" x14ac:dyDescent="0.35">
      <c r="A212" s="5" t="s">
        <v>5</v>
      </c>
      <c r="B212" s="5" t="str">
        <f t="shared" si="98"/>
        <v>SPS4</v>
      </c>
      <c r="C212" s="5" t="s">
        <v>7</v>
      </c>
      <c r="D212" t="s">
        <v>820</v>
      </c>
      <c r="E212" t="str">
        <f>E169</f>
        <v>PJ/yr.</v>
      </c>
      <c r="F212" s="1">
        <f>F210-F214</f>
        <v>1.7329152114270885</v>
      </c>
      <c r="G212" s="1">
        <f t="shared" ref="G212:K212" si="121">G210-G214</f>
        <v>2.7413492172549532</v>
      </c>
      <c r="H212" s="1">
        <f t="shared" si="121"/>
        <v>0.93708670170805153</v>
      </c>
      <c r="I212" s="1">
        <f t="shared" si="121"/>
        <v>3.0672592498322988</v>
      </c>
      <c r="J212" s="1">
        <f t="shared" si="121"/>
        <v>2.7452260880929478</v>
      </c>
      <c r="K212" s="1">
        <f t="shared" si="121"/>
        <v>8.2524421326983788E-3</v>
      </c>
    </row>
    <row r="213" spans="1:11" x14ac:dyDescent="0.35">
      <c r="A213" s="5"/>
      <c r="B213" s="5" t="str">
        <f t="shared" si="98"/>
        <v>SPS4</v>
      </c>
      <c r="C213" s="5" t="str">
        <f>C212</f>
        <v>CH</v>
      </c>
      <c r="D213" t="s">
        <v>824</v>
      </c>
      <c r="E213" t="str">
        <f>E170</f>
        <v>PJ/yr.</v>
      </c>
      <c r="F213" s="1">
        <f>F214</f>
        <v>0.90178691719900905</v>
      </c>
      <c r="G213" s="1">
        <f t="shared" ref="G213:K213" si="122">G214</f>
        <v>0.90177958861096252</v>
      </c>
      <c r="H213" s="1">
        <f t="shared" si="122"/>
        <v>0.90178159813348824</v>
      </c>
      <c r="I213" s="1">
        <f t="shared" si="122"/>
        <v>0.9017772717137198</v>
      </c>
      <c r="J213" s="1">
        <f t="shared" si="122"/>
        <v>0.90178130466546236</v>
      </c>
      <c r="K213" s="1">
        <f t="shared" si="122"/>
        <v>0.90178385822000784</v>
      </c>
    </row>
    <row r="214" spans="1:11" x14ac:dyDescent="0.35">
      <c r="A214" s="5" t="s">
        <v>5</v>
      </c>
      <c r="B214" s="5" t="str">
        <f t="shared" si="98"/>
        <v>SPS4</v>
      </c>
      <c r="C214" s="5" t="s">
        <v>7</v>
      </c>
      <c r="D214" t="s">
        <v>821</v>
      </c>
      <c r="E214" t="str">
        <f>E170</f>
        <v>PJ/yr.</v>
      </c>
      <c r="F214" s="1">
        <f>'[1]Electricity and CHPs'!B$98</f>
        <v>0.90178691719900905</v>
      </c>
      <c r="G214" s="1">
        <f>'[1]Electricity and CHPs'!C$98</f>
        <v>0.90177958861096252</v>
      </c>
      <c r="H214" s="1">
        <f>'[1]Electricity and CHPs'!D$98</f>
        <v>0.90178159813348824</v>
      </c>
      <c r="I214" s="1">
        <f>'[1]Electricity and CHPs'!E$98</f>
        <v>0.9017772717137198</v>
      </c>
      <c r="J214" s="1">
        <f>'[1]Electricity and CHPs'!F$98</f>
        <v>0.90178130466546236</v>
      </c>
      <c r="K214" s="1">
        <f>'[1]Electricity and CHPs'!G$98</f>
        <v>0.90178385822000784</v>
      </c>
    </row>
    <row r="215" spans="1:11" x14ac:dyDescent="0.35">
      <c r="A215" s="5" t="s">
        <v>5</v>
      </c>
      <c r="B215" s="5" t="str">
        <f t="shared" si="98"/>
        <v>SPS4</v>
      </c>
      <c r="C215" s="5" t="s">
        <v>7</v>
      </c>
      <c r="D215" t="s">
        <v>825</v>
      </c>
      <c r="E215" t="str">
        <f>E170</f>
        <v>PJ/yr.</v>
      </c>
      <c r="F215" s="1">
        <f>+F216</f>
        <v>1.4500356790805038</v>
      </c>
      <c r="G215" s="1">
        <f t="shared" ref="G215:K215" si="123">+G216</f>
        <v>3.8018551181461344</v>
      </c>
      <c r="H215" s="1">
        <f t="shared" si="123"/>
        <v>3.8005505190406987</v>
      </c>
      <c r="I215" s="1">
        <f t="shared" si="123"/>
        <v>1.0694499572352101</v>
      </c>
      <c r="J215" s="1">
        <f t="shared" si="123"/>
        <v>0</v>
      </c>
      <c r="K215" s="1">
        <f t="shared" si="123"/>
        <v>0</v>
      </c>
    </row>
    <row r="216" spans="1:11" x14ac:dyDescent="0.35">
      <c r="A216" s="5" t="s">
        <v>5</v>
      </c>
      <c r="B216" s="5" t="str">
        <f t="shared" si="98"/>
        <v>SPS4</v>
      </c>
      <c r="C216" s="5" t="s">
        <v>7</v>
      </c>
      <c r="D216" t="s">
        <v>164</v>
      </c>
      <c r="E216" t="str">
        <f>E171</f>
        <v>PJ/yr.</v>
      </c>
      <c r="F216" s="1">
        <f>'[1]Electricity and CHPs'!B$99</f>
        <v>1.4500356790805038</v>
      </c>
      <c r="G216" s="1">
        <f>'[1]Electricity and CHPs'!C$99</f>
        <v>3.8018551181461344</v>
      </c>
      <c r="H216" s="1">
        <f>'[1]Electricity and CHPs'!D$99</f>
        <v>3.8005505190406987</v>
      </c>
      <c r="I216" s="1">
        <f>'[1]Electricity and CHPs'!E$99</f>
        <v>1.0694499572352101</v>
      </c>
      <c r="J216" s="1">
        <f>'[1]Electricity and CHPs'!F$99</f>
        <v>0</v>
      </c>
      <c r="K216" s="1">
        <f>'[1]Electricity and CHPs'!G$99</f>
        <v>0</v>
      </c>
    </row>
    <row r="217" spans="1:11" x14ac:dyDescent="0.35">
      <c r="A217" s="5" t="s">
        <v>5</v>
      </c>
      <c r="B217" s="5" t="str">
        <f t="shared" si="98"/>
        <v>SPS4</v>
      </c>
      <c r="C217" s="5" t="s">
        <v>7</v>
      </c>
      <c r="D217" t="s">
        <v>826</v>
      </c>
      <c r="E217" t="str">
        <f>E171</f>
        <v>PJ/yr.</v>
      </c>
      <c r="F217" s="1">
        <f>+F218</f>
        <v>0.18409027775169159</v>
      </c>
      <c r="G217" s="1">
        <f t="shared" ref="G217:K217" si="124">+G218</f>
        <v>0.18580257000482386</v>
      </c>
      <c r="H217" s="1">
        <f t="shared" si="124"/>
        <v>1.1793179539563382E-3</v>
      </c>
      <c r="I217" s="1">
        <f t="shared" si="124"/>
        <v>5.3135706861661325E-4</v>
      </c>
      <c r="J217" s="1">
        <f t="shared" si="124"/>
        <v>2.5130082141975132E-4</v>
      </c>
      <c r="K217" s="1">
        <f t="shared" si="124"/>
        <v>1.8199893942512366E-4</v>
      </c>
    </row>
    <row r="218" spans="1:11" x14ac:dyDescent="0.35">
      <c r="A218" s="5" t="s">
        <v>5</v>
      </c>
      <c r="B218" s="5" t="str">
        <f t="shared" si="98"/>
        <v>SPS4</v>
      </c>
      <c r="C218" s="5" t="s">
        <v>7</v>
      </c>
      <c r="D218" t="s">
        <v>165</v>
      </c>
      <c r="E218" t="str">
        <f>E172</f>
        <v>PJ/yr.</v>
      </c>
      <c r="F218" s="1">
        <f>'[1]Electricity and CHPs'!B$100</f>
        <v>0.18409027775169159</v>
      </c>
      <c r="G218" s="1">
        <f>'[1]Electricity and CHPs'!C$100</f>
        <v>0.18580257000482386</v>
      </c>
      <c r="H218" s="1">
        <f>'[1]Electricity and CHPs'!D$100</f>
        <v>1.1793179539563382E-3</v>
      </c>
      <c r="I218" s="1">
        <f>'[1]Electricity and CHPs'!E$100</f>
        <v>5.3135706861661325E-4</v>
      </c>
      <c r="J218" s="1">
        <f>'[1]Electricity and CHPs'!F$100</f>
        <v>2.5130082141975132E-4</v>
      </c>
      <c r="K218" s="1">
        <f>'[1]Electricity and CHPs'!G$100</f>
        <v>1.8199893942512366E-4</v>
      </c>
    </row>
    <row r="219" spans="1:11" x14ac:dyDescent="0.35">
      <c r="A219" s="5"/>
      <c r="B219" s="5" t="str">
        <f t="shared" si="98"/>
        <v>SPS4</v>
      </c>
      <c r="C219" s="5" t="s">
        <v>7</v>
      </c>
      <c r="D219" t="s">
        <v>827</v>
      </c>
      <c r="E219" t="str">
        <f>E171</f>
        <v>PJ/yr.</v>
      </c>
      <c r="F219" s="1">
        <f>F220</f>
        <v>0.18409027775169159</v>
      </c>
      <c r="G219" s="1">
        <f t="shared" ref="G219:K219" si="125">G220</f>
        <v>0.18580257000482386</v>
      </c>
      <c r="H219" s="1">
        <f t="shared" si="125"/>
        <v>1.1793179539563382E-3</v>
      </c>
      <c r="I219" s="1">
        <f t="shared" si="125"/>
        <v>5.3135706861661325E-4</v>
      </c>
      <c r="J219" s="1">
        <f t="shared" si="125"/>
        <v>2.5130082141975132E-4</v>
      </c>
      <c r="K219" s="1">
        <f t="shared" si="125"/>
        <v>1.8199893942512366E-4</v>
      </c>
    </row>
    <row r="220" spans="1:11" x14ac:dyDescent="0.35">
      <c r="A220" s="5" t="s">
        <v>5</v>
      </c>
      <c r="B220" s="5" t="str">
        <f t="shared" si="98"/>
        <v>SPS4</v>
      </c>
      <c r="C220" s="5" t="s">
        <v>7</v>
      </c>
      <c r="D220" t="s">
        <v>518</v>
      </c>
      <c r="E220" t="str">
        <f>E172</f>
        <v>PJ/yr.</v>
      </c>
      <c r="F220" s="1">
        <f>F218-F222</f>
        <v>0.18409027775169159</v>
      </c>
      <c r="G220" s="1">
        <f t="shared" ref="G220:K220" si="126">G218-G222</f>
        <v>0.18580257000482386</v>
      </c>
      <c r="H220" s="1">
        <f t="shared" si="126"/>
        <v>1.1793179539563382E-3</v>
      </c>
      <c r="I220" s="1">
        <f t="shared" si="126"/>
        <v>5.3135706861661325E-4</v>
      </c>
      <c r="J220" s="1">
        <f t="shared" si="126"/>
        <v>2.5130082141975132E-4</v>
      </c>
      <c r="K220" s="1">
        <f t="shared" si="126"/>
        <v>1.8199893942512366E-4</v>
      </c>
    </row>
    <row r="221" spans="1:11" x14ac:dyDescent="0.35">
      <c r="A221" s="5"/>
      <c r="B221" s="5" t="str">
        <f t="shared" si="98"/>
        <v>SPS4</v>
      </c>
      <c r="C221" s="5" t="s">
        <v>7</v>
      </c>
      <c r="D221" t="s">
        <v>828</v>
      </c>
      <c r="E221" t="str">
        <f>E172</f>
        <v>PJ/yr.</v>
      </c>
      <c r="F221" s="1">
        <f>F222</f>
        <v>0</v>
      </c>
      <c r="G221" s="1">
        <f t="shared" ref="G221:K221" si="127">G222</f>
        <v>0</v>
      </c>
      <c r="H221" s="1">
        <f t="shared" si="127"/>
        <v>0</v>
      </c>
      <c r="I221" s="1">
        <f t="shared" si="127"/>
        <v>0</v>
      </c>
      <c r="J221" s="1">
        <f t="shared" si="127"/>
        <v>0</v>
      </c>
      <c r="K221" s="1">
        <f t="shared" si="127"/>
        <v>0</v>
      </c>
    </row>
    <row r="222" spans="1:11" x14ac:dyDescent="0.35">
      <c r="A222" s="5" t="s">
        <v>5</v>
      </c>
      <c r="B222" s="5" t="str">
        <f t="shared" si="98"/>
        <v>SPS4</v>
      </c>
      <c r="C222" s="5" t="s">
        <v>7</v>
      </c>
      <c r="D222" t="s">
        <v>542</v>
      </c>
      <c r="E222" t="str">
        <f>E173</f>
        <v>PJ/yr.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</row>
    <row r="223" spans="1:11" x14ac:dyDescent="0.35">
      <c r="A223" s="5" t="s">
        <v>5</v>
      </c>
      <c r="B223" s="5" t="str">
        <f t="shared" si="98"/>
        <v>SPS4</v>
      </c>
      <c r="C223" s="5" t="s">
        <v>7</v>
      </c>
      <c r="D223" t="s">
        <v>829</v>
      </c>
      <c r="E223" t="str">
        <f>E172</f>
        <v>PJ/yr.</v>
      </c>
      <c r="F223" s="1">
        <f>+F224</f>
        <v>1.1346704759087218</v>
      </c>
      <c r="G223" s="1">
        <f t="shared" ref="G223:K223" si="128">+G224</f>
        <v>1.024035848731865</v>
      </c>
      <c r="H223" s="1">
        <f t="shared" si="128"/>
        <v>0.87798315281001638</v>
      </c>
      <c r="I223" s="1">
        <f t="shared" si="128"/>
        <v>0.6793627036482055</v>
      </c>
      <c r="J223" s="1">
        <f t="shared" si="128"/>
        <v>0.40678378396637915</v>
      </c>
      <c r="K223" s="1">
        <f t="shared" si="128"/>
        <v>0.24356281019226314</v>
      </c>
    </row>
    <row r="224" spans="1:11" x14ac:dyDescent="0.35">
      <c r="A224" s="5" t="s">
        <v>5</v>
      </c>
      <c r="B224" s="5" t="str">
        <f t="shared" si="98"/>
        <v>SPS4</v>
      </c>
      <c r="C224" s="5" t="s">
        <v>7</v>
      </c>
      <c r="D224" t="s">
        <v>166</v>
      </c>
      <c r="E224" t="str">
        <f>E173</f>
        <v>PJ/yr.</v>
      </c>
      <c r="F224" s="1">
        <f>'[1]Electricity and CHPs'!B$101</f>
        <v>1.1346704759087218</v>
      </c>
      <c r="G224" s="1">
        <f>'[1]Electricity and CHPs'!C$101</f>
        <v>1.024035848731865</v>
      </c>
      <c r="H224" s="1">
        <f>'[1]Electricity and CHPs'!D$101</f>
        <v>0.87798315281001638</v>
      </c>
      <c r="I224" s="1">
        <f>'[1]Electricity and CHPs'!E$101</f>
        <v>0.6793627036482055</v>
      </c>
      <c r="J224" s="1">
        <f>'[1]Electricity and CHPs'!F$101</f>
        <v>0.40678378396637915</v>
      </c>
      <c r="K224" s="1">
        <f>'[1]Electricity and CHPs'!G$101</f>
        <v>0.24356281019226314</v>
      </c>
    </row>
    <row r="225" spans="1:11" x14ac:dyDescent="0.35">
      <c r="A225" s="5" t="s">
        <v>5</v>
      </c>
      <c r="B225" s="5" t="str">
        <f t="shared" si="98"/>
        <v>SPS4</v>
      </c>
      <c r="C225" s="5" t="s">
        <v>7</v>
      </c>
      <c r="D225" t="s">
        <v>830</v>
      </c>
      <c r="E225" t="str">
        <f>E173</f>
        <v>PJ/yr.</v>
      </c>
      <c r="F225" s="1">
        <f>+F226</f>
        <v>0</v>
      </c>
      <c r="G225" s="1">
        <f t="shared" ref="G225:K225" si="129">+G226</f>
        <v>0</v>
      </c>
      <c r="H225" s="1">
        <f t="shared" si="129"/>
        <v>0</v>
      </c>
      <c r="I225" s="1">
        <f t="shared" si="129"/>
        <v>3.7235337147566177E-5</v>
      </c>
      <c r="J225" s="1">
        <f t="shared" si="129"/>
        <v>4.3238955235127233E-5</v>
      </c>
      <c r="K225" s="1">
        <f t="shared" si="129"/>
        <v>4.3748747265202748E-5</v>
      </c>
    </row>
    <row r="226" spans="1:11" x14ac:dyDescent="0.35">
      <c r="A226" s="5" t="s">
        <v>5</v>
      </c>
      <c r="B226" s="5" t="str">
        <f t="shared" si="98"/>
        <v>SPS4</v>
      </c>
      <c r="C226" s="5" t="s">
        <v>7</v>
      </c>
      <c r="D226" t="s">
        <v>167</v>
      </c>
      <c r="E226" t="str">
        <f>E174</f>
        <v>PJ/yr.</v>
      </c>
      <c r="F226" s="1">
        <f>'[1]Electricity and CHPs'!B$102</f>
        <v>0</v>
      </c>
      <c r="G226" s="1">
        <f>'[1]Electricity and CHPs'!C$102</f>
        <v>0</v>
      </c>
      <c r="H226" s="1">
        <f>'[1]Electricity and CHPs'!D$102</f>
        <v>0</v>
      </c>
      <c r="I226" s="1">
        <f>'[1]Electricity and CHPs'!E$102</f>
        <v>3.7235337147566177E-5</v>
      </c>
      <c r="J226" s="1">
        <f>'[1]Electricity and CHPs'!F$102</f>
        <v>4.3238955235127233E-5</v>
      </c>
      <c r="K226" s="1">
        <f>'[1]Electricity and CHPs'!G$102</f>
        <v>4.3748747265202748E-5</v>
      </c>
    </row>
    <row r="227" spans="1:11" x14ac:dyDescent="0.35">
      <c r="A227" s="5" t="s">
        <v>5</v>
      </c>
      <c r="B227" s="5" t="str">
        <f t="shared" si="98"/>
        <v>SPS4</v>
      </c>
      <c r="C227" s="5" t="s">
        <v>7</v>
      </c>
      <c r="D227" t="s">
        <v>831</v>
      </c>
      <c r="E227" t="str">
        <f>E174</f>
        <v>PJ/yr.</v>
      </c>
      <c r="F227" s="1">
        <f>+F228</f>
        <v>0</v>
      </c>
      <c r="G227" s="1">
        <f t="shared" ref="G227:K227" si="130">+G228</f>
        <v>0</v>
      </c>
      <c r="H227" s="1">
        <f t="shared" si="130"/>
        <v>0</v>
      </c>
      <c r="I227" s="1">
        <f t="shared" si="130"/>
        <v>0</v>
      </c>
      <c r="J227" s="1">
        <f t="shared" si="130"/>
        <v>1.3047563013180149E-4</v>
      </c>
      <c r="K227" s="1">
        <f t="shared" si="130"/>
        <v>1.0818726869459371E-4</v>
      </c>
    </row>
    <row r="228" spans="1:11" x14ac:dyDescent="0.35">
      <c r="A228" s="5" t="s">
        <v>5</v>
      </c>
      <c r="B228" s="5" t="str">
        <f t="shared" si="98"/>
        <v>SPS4</v>
      </c>
      <c r="C228" s="5" t="s">
        <v>7</v>
      </c>
      <c r="D228" t="s">
        <v>233</v>
      </c>
      <c r="E228" t="str">
        <f>E175</f>
        <v>PJ/yr.</v>
      </c>
      <c r="F228" s="1">
        <f>'[1]Electricity and CHPs'!B$90</f>
        <v>0</v>
      </c>
      <c r="G228" s="1">
        <f>'[1]Electricity and CHPs'!C$90</f>
        <v>0</v>
      </c>
      <c r="H228" s="1">
        <f>'[1]Electricity and CHPs'!D$90</f>
        <v>0</v>
      </c>
      <c r="I228" s="1">
        <f>'[1]Electricity and CHPs'!E$90</f>
        <v>0</v>
      </c>
      <c r="J228" s="1">
        <f>'[1]Electricity and CHPs'!F$90</f>
        <v>1.3047563013180149E-4</v>
      </c>
      <c r="K228" s="1">
        <f>'[1]Electricity and CHPs'!G$90</f>
        <v>1.0818726869459371E-4</v>
      </c>
    </row>
    <row r="229" spans="1:11" x14ac:dyDescent="0.35">
      <c r="A229" s="5" t="s">
        <v>5</v>
      </c>
      <c r="B229" s="5" t="str">
        <f t="shared" si="98"/>
        <v>SPS4</v>
      </c>
      <c r="C229" s="5" t="s">
        <v>7</v>
      </c>
      <c r="D229" t="s">
        <v>832</v>
      </c>
      <c r="E229" t="str">
        <f>E174</f>
        <v>PJ/yr.</v>
      </c>
      <c r="F229" s="1">
        <f>+F230</f>
        <v>0</v>
      </c>
      <c r="G229" s="1">
        <f t="shared" ref="G229:K229" si="131">+G230</f>
        <v>3.3821522895453033</v>
      </c>
      <c r="H229" s="1">
        <f t="shared" si="131"/>
        <v>3.4846357368447864</v>
      </c>
      <c r="I229" s="1">
        <f t="shared" si="131"/>
        <v>3.6623887100444561</v>
      </c>
      <c r="J229" s="1">
        <f t="shared" si="131"/>
        <v>4.045560866772175</v>
      </c>
      <c r="K229" s="1">
        <f t="shared" si="131"/>
        <v>4.4688183752481097</v>
      </c>
    </row>
    <row r="230" spans="1:11" x14ac:dyDescent="0.35">
      <c r="A230" s="5" t="s">
        <v>5</v>
      </c>
      <c r="B230" s="5" t="str">
        <f t="shared" si="98"/>
        <v>SPS4</v>
      </c>
      <c r="C230" s="5" t="s">
        <v>7</v>
      </c>
      <c r="D230" t="s">
        <v>833</v>
      </c>
      <c r="E230" t="str">
        <f>E175</f>
        <v>PJ/yr.</v>
      </c>
      <c r="F230" s="1">
        <f>'[1]Electricity and CHPs'!B$123</f>
        <v>0</v>
      </c>
      <c r="G230" s="1">
        <f>'[1]Electricity and CHPs'!C$123</f>
        <v>3.3821522895453033</v>
      </c>
      <c r="H230" s="1">
        <f>'[1]Electricity and CHPs'!D$123</f>
        <v>3.4846357368447864</v>
      </c>
      <c r="I230" s="1">
        <f>'[1]Electricity and CHPs'!E$123</f>
        <v>3.6623887100444561</v>
      </c>
      <c r="J230" s="1">
        <f>'[1]Electricity and CHPs'!F$123</f>
        <v>4.045560866772175</v>
      </c>
      <c r="K230" s="1">
        <f>'[1]Electricity and CHPs'!G$123</f>
        <v>4.4688183752481097</v>
      </c>
    </row>
    <row r="231" spans="1:11" x14ac:dyDescent="0.35">
      <c r="A231" s="5" t="s">
        <v>5</v>
      </c>
      <c r="B231" s="5" t="str">
        <f t="shared" si="98"/>
        <v>SPS4</v>
      </c>
      <c r="C231" s="5" t="s">
        <v>7</v>
      </c>
      <c r="D231" t="s">
        <v>834</v>
      </c>
      <c r="E231" t="str">
        <f>E169</f>
        <v>PJ/yr.</v>
      </c>
      <c r="F231" s="1">
        <f>SUM(F232,F238,F271,F280,F286)</f>
        <v>6.5431629164240626</v>
      </c>
      <c r="G231" s="1">
        <f t="shared" ref="G231:K231" si="132">SUM(G232,G238,G271,G280,G286)</f>
        <v>8.1900215930580966</v>
      </c>
      <c r="H231" s="1">
        <f t="shared" si="132"/>
        <v>7.5640418496836483</v>
      </c>
      <c r="I231" s="1">
        <f t="shared" si="132"/>
        <v>10.079920562067372</v>
      </c>
      <c r="J231" s="1">
        <f t="shared" si="132"/>
        <v>43.772517628715484</v>
      </c>
      <c r="K231" s="1">
        <f t="shared" si="132"/>
        <v>60.531131686868946</v>
      </c>
    </row>
    <row r="232" spans="1:11" x14ac:dyDescent="0.35">
      <c r="A232" s="5" t="s">
        <v>5</v>
      </c>
      <c r="B232" s="5" t="str">
        <f t="shared" si="98"/>
        <v>SPS4</v>
      </c>
      <c r="C232" s="5" t="s">
        <v>7</v>
      </c>
      <c r="D232" t="s">
        <v>835</v>
      </c>
      <c r="E232" t="str">
        <f>E169</f>
        <v>PJ/yr.</v>
      </c>
      <c r="F232" s="1">
        <f>+F233</f>
        <v>0.92947428113275277</v>
      </c>
      <c r="G232" s="1">
        <f t="shared" ref="G232:K232" si="133">+G233</f>
        <v>2.0709484585605802</v>
      </c>
      <c r="H232" s="1">
        <f t="shared" si="133"/>
        <v>2.9276382545590264E-2</v>
      </c>
      <c r="I232" s="1">
        <f t="shared" si="133"/>
        <v>1.314849508620662</v>
      </c>
      <c r="J232" s="1">
        <f t="shared" si="133"/>
        <v>4.1965154937227203E-2</v>
      </c>
      <c r="K232" s="1">
        <f t="shared" si="133"/>
        <v>0.37361490883573978</v>
      </c>
    </row>
    <row r="233" spans="1:11" x14ac:dyDescent="0.35">
      <c r="A233" s="5" t="s">
        <v>5</v>
      </c>
      <c r="B233" s="5" t="str">
        <f t="shared" si="98"/>
        <v>SPS4</v>
      </c>
      <c r="C233" s="5" t="s">
        <v>7</v>
      </c>
      <c r="D233" t="s">
        <v>168</v>
      </c>
      <c r="E233" t="str">
        <f>E170</f>
        <v>PJ/yr.</v>
      </c>
      <c r="F233" s="1">
        <f>'[1]Electricity and CHPs'!B$104</f>
        <v>0.92947428113275277</v>
      </c>
      <c r="G233" s="1">
        <f>'[1]Electricity and CHPs'!C$104</f>
        <v>2.0709484585605802</v>
      </c>
      <c r="H233" s="1">
        <f>'[1]Electricity and CHPs'!D$104</f>
        <v>2.9276382545590264E-2</v>
      </c>
      <c r="I233" s="1">
        <f>'[1]Electricity and CHPs'!E$104</f>
        <v>1.314849508620662</v>
      </c>
      <c r="J233" s="1">
        <f>'[1]Electricity and CHPs'!F$104</f>
        <v>4.1965154937227203E-2</v>
      </c>
      <c r="K233" s="1">
        <f>'[1]Electricity and CHPs'!G$104</f>
        <v>0.37361490883573978</v>
      </c>
    </row>
    <row r="234" spans="1:11" x14ac:dyDescent="0.35">
      <c r="A234" s="5"/>
      <c r="B234" s="5" t="str">
        <f t="shared" si="98"/>
        <v>SPS4</v>
      </c>
      <c r="C234" s="5" t="s">
        <v>7</v>
      </c>
      <c r="D234" t="s">
        <v>836</v>
      </c>
      <c r="E234" t="str">
        <f>E169</f>
        <v>PJ/yr.</v>
      </c>
      <c r="F234" s="1">
        <f>F235</f>
        <v>0.92947428113275277</v>
      </c>
      <c r="G234" s="1">
        <f t="shared" ref="G234:K234" si="134">G235</f>
        <v>2.0709484585605802</v>
      </c>
      <c r="H234" s="1">
        <f t="shared" si="134"/>
        <v>2.9276382545590264E-2</v>
      </c>
      <c r="I234" s="1">
        <f t="shared" si="134"/>
        <v>1.314849508620662</v>
      </c>
      <c r="J234" s="1">
        <f t="shared" si="134"/>
        <v>4.1965154937227203E-2</v>
      </c>
      <c r="K234" s="1">
        <f t="shared" si="134"/>
        <v>0.37361490883573978</v>
      </c>
    </row>
    <row r="235" spans="1:11" x14ac:dyDescent="0.35">
      <c r="A235" s="5" t="s">
        <v>5</v>
      </c>
      <c r="B235" s="5" t="str">
        <f t="shared" si="98"/>
        <v>SPS4</v>
      </c>
      <c r="C235" s="5" t="s">
        <v>7</v>
      </c>
      <c r="D235" t="s">
        <v>519</v>
      </c>
      <c r="E235" t="str">
        <f>E170</f>
        <v>PJ/yr.</v>
      </c>
      <c r="F235" s="1">
        <f>F233-F237</f>
        <v>0.92947428113275277</v>
      </c>
      <c r="G235" s="1">
        <f t="shared" ref="G235:K235" si="135">G233-G237</f>
        <v>2.0709484585605802</v>
      </c>
      <c r="H235" s="1">
        <f t="shared" si="135"/>
        <v>2.9276382545590264E-2</v>
      </c>
      <c r="I235" s="1">
        <f t="shared" si="135"/>
        <v>1.314849508620662</v>
      </c>
      <c r="J235" s="1">
        <f t="shared" si="135"/>
        <v>4.1965154937227203E-2</v>
      </c>
      <c r="K235" s="1">
        <f t="shared" si="135"/>
        <v>0.37361490883573978</v>
      </c>
    </row>
    <row r="236" spans="1:11" x14ac:dyDescent="0.35">
      <c r="A236" s="5"/>
      <c r="B236" s="5" t="str">
        <f t="shared" si="98"/>
        <v>SPS4</v>
      </c>
      <c r="C236" s="5" t="s">
        <v>7</v>
      </c>
      <c r="D236" t="s">
        <v>837</v>
      </c>
      <c r="E236" t="str">
        <f>E170</f>
        <v>PJ/yr.</v>
      </c>
      <c r="F236" s="1">
        <f>F237</f>
        <v>0</v>
      </c>
      <c r="G236" s="1">
        <f t="shared" ref="G236:K236" si="136">G237</f>
        <v>0</v>
      </c>
      <c r="H236" s="1">
        <f t="shared" si="136"/>
        <v>0</v>
      </c>
      <c r="I236" s="1">
        <f t="shared" si="136"/>
        <v>0</v>
      </c>
      <c r="J236" s="1">
        <f t="shared" si="136"/>
        <v>0</v>
      </c>
      <c r="K236" s="1">
        <f t="shared" si="136"/>
        <v>0</v>
      </c>
    </row>
    <row r="237" spans="1:11" x14ac:dyDescent="0.35">
      <c r="A237" s="5" t="s">
        <v>5</v>
      </c>
      <c r="B237" s="5" t="str">
        <f t="shared" si="98"/>
        <v>SPS4</v>
      </c>
      <c r="C237" s="5" t="s">
        <v>7</v>
      </c>
      <c r="D237" t="s">
        <v>543</v>
      </c>
      <c r="E237" t="str">
        <f>E171</f>
        <v>PJ/yr.</v>
      </c>
      <c r="F237" s="1">
        <f t="shared" ref="F237:K237" si="137">F233*IFERROR(F79/F75,0)</f>
        <v>0</v>
      </c>
      <c r="G237" s="1">
        <f t="shared" si="137"/>
        <v>0</v>
      </c>
      <c r="H237" s="1">
        <f t="shared" si="137"/>
        <v>0</v>
      </c>
      <c r="I237" s="1">
        <f t="shared" si="137"/>
        <v>0</v>
      </c>
      <c r="J237" s="1">
        <f t="shared" si="137"/>
        <v>0</v>
      </c>
      <c r="K237" s="1">
        <f t="shared" si="137"/>
        <v>0</v>
      </c>
    </row>
    <row r="238" spans="1:11" x14ac:dyDescent="0.35">
      <c r="A238" s="5" t="s">
        <v>5</v>
      </c>
      <c r="B238" s="5" t="str">
        <f t="shared" si="98"/>
        <v>SPS4</v>
      </c>
      <c r="C238" s="5" t="s">
        <v>7</v>
      </c>
      <c r="D238" t="s">
        <v>838</v>
      </c>
      <c r="E238" t="str">
        <f>E171</f>
        <v>PJ/yr.</v>
      </c>
      <c r="F238" s="1">
        <f>SUM(F239:F248)</f>
        <v>3.0169595117516979</v>
      </c>
      <c r="G238" s="1">
        <f t="shared" ref="G238:K238" si="138">SUM(G239:G248)</f>
        <v>2.442515869931114</v>
      </c>
      <c r="H238" s="1">
        <f t="shared" si="138"/>
        <v>1.611789866665851</v>
      </c>
      <c r="I238" s="1">
        <f t="shared" si="138"/>
        <v>3.232642876674924</v>
      </c>
      <c r="J238" s="1">
        <f t="shared" si="138"/>
        <v>35.763125995692398</v>
      </c>
      <c r="K238" s="1">
        <f t="shared" si="138"/>
        <v>50.767678137057835</v>
      </c>
    </row>
    <row r="239" spans="1:11" x14ac:dyDescent="0.35">
      <c r="A239" s="5" t="s">
        <v>5</v>
      </c>
      <c r="B239" s="5" t="str">
        <f t="shared" si="98"/>
        <v>SPS4</v>
      </c>
      <c r="C239" s="5" t="s">
        <v>7</v>
      </c>
      <c r="D239" t="s">
        <v>169</v>
      </c>
      <c r="E239" t="str">
        <f>E172</f>
        <v>PJ/yr.</v>
      </c>
      <c r="F239" s="1">
        <f>'[1]Electricity and CHPs_IN'!B$39*0.75-F86-F240</f>
        <v>0.77087638278241799</v>
      </c>
      <c r="G239" s="1">
        <f>'[1]Electricity and CHPs_IN'!C$39*0.75-G86-G240</f>
        <v>0.10234314373637597</v>
      </c>
      <c r="H239" s="1">
        <f>'[1]Electricity and CHPs_IN'!D$39*0.75-H86-H240</f>
        <v>7.382843042262334E-2</v>
      </c>
      <c r="I239" s="1">
        <f>'[1]Electricity and CHPs_IN'!E$39*0.75-I86-I240</f>
        <v>0.44957635601877899</v>
      </c>
      <c r="J239" s="1">
        <f>'[1]Electricity and CHPs'!F$103-J240</f>
        <v>6.688086431111355E-2</v>
      </c>
      <c r="K239" s="1">
        <f>'[1]Electricity and CHPs'!G$103-K240</f>
        <v>1.4102554852473671E-2</v>
      </c>
    </row>
    <row r="240" spans="1:11" x14ac:dyDescent="0.35">
      <c r="A240" s="5" t="s">
        <v>5</v>
      </c>
      <c r="B240" s="5" t="str">
        <f t="shared" si="98"/>
        <v>SPS4</v>
      </c>
      <c r="C240" s="5" t="s">
        <v>7</v>
      </c>
      <c r="D240" t="s">
        <v>170</v>
      </c>
      <c r="E240" t="str">
        <f>E173</f>
        <v>PJ/yr.</v>
      </c>
      <c r="F240" s="1" cm="1">
        <f t="array" ref="F240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0" s="1" cm="1">
        <f t="array" ref="G240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0" s="1" cm="1">
        <f t="array" ref="H240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0" s="1" cm="1">
        <f t="array" ref="I240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0" s="1" cm="1">
        <f t="array" ref="J240">SUMPRODUCT((ISNUMBER(SEARCH("ITOT-CHPNGACCS",[1]OUT_Electricity_CHP!$B$1:$B$10000)))*1,([1]OUT_Electricity_CHP!$C$1:$C$10000="Var_Fout")*1,([1]OUT_Electricity_CHP!$D$1:$D$10000="ITOT_LTH_CHP")*1,[1]OUT_Electricity_CHP!I$1:I$10000)</f>
        <v>0</v>
      </c>
      <c r="K240" s="1" cm="1">
        <f t="array" ref="K240">SUMPRODUCT((ISNUMBER(SEARCH("ITOT-CHPNGACCS",[1]OUT_Electricity_CHP!$B$1:$B$10000)))*1,([1]OUT_Electricity_CHP!$C$1:$C$10000="Var_Fout")*1,([1]OUT_Electricity_CHP!$D$1:$D$10000="ITOT_LTH_CHP")*1,[1]OUT_Electricity_CHP!J$1:J$10000)</f>
        <v>0</v>
      </c>
    </row>
    <row r="241" spans="1:11" x14ac:dyDescent="0.35">
      <c r="A241" s="5" t="s">
        <v>5</v>
      </c>
      <c r="B241" s="5" t="str">
        <f t="shared" si="98"/>
        <v>SPS4</v>
      </c>
      <c r="C241" s="5" t="s">
        <v>7</v>
      </c>
      <c r="D241" t="s">
        <v>171</v>
      </c>
      <c r="E241" t="str">
        <f>E174</f>
        <v>PJ/yr.</v>
      </c>
      <c r="F241" s="1">
        <f>'[1]Electricity and CHPs'!B$107</f>
        <v>0</v>
      </c>
      <c r="G241" s="1">
        <f>'[1]Electricity and CHPs'!C$107</f>
        <v>0</v>
      </c>
      <c r="H241" s="1">
        <f>'[1]Electricity and CHPs'!D$107</f>
        <v>0</v>
      </c>
      <c r="I241" s="1">
        <f>'[1]Electricity and CHPs'!E$107</f>
        <v>2.9128295163130221E-4</v>
      </c>
      <c r="J241" s="1">
        <f>'[1]Electricity and CHPs'!F$107</f>
        <v>1.3454797846224004E-3</v>
      </c>
      <c r="K241" s="1">
        <f>'[1]Electricity and CHPs'!G$107</f>
        <v>9.9386915857320197E-4</v>
      </c>
    </row>
    <row r="242" spans="1:11" x14ac:dyDescent="0.35">
      <c r="A242" s="5" t="s">
        <v>5</v>
      </c>
      <c r="B242" s="5" t="str">
        <f t="shared" si="98"/>
        <v>SPS4</v>
      </c>
      <c r="C242" s="5" t="s">
        <v>7</v>
      </c>
      <c r="D242" t="s">
        <v>172</v>
      </c>
      <c r="E242" t="str">
        <f>E197</f>
        <v>PJ/yr.</v>
      </c>
      <c r="F242" s="1">
        <f>'[1]Electricity and CHPs'!B$109</f>
        <v>4.0097262576546826E-2</v>
      </c>
      <c r="G242" s="1">
        <f>'[1]Electricity and CHPs'!C$109</f>
        <v>5.915731011713006E-3</v>
      </c>
      <c r="H242" s="1">
        <f>'[1]Electricity and CHPs'!D$109</f>
        <v>1.4647441489524578E-2</v>
      </c>
      <c r="I242" s="1">
        <f>'[1]Electricity and CHPs'!E$109</f>
        <v>2.1792533709253985E-2</v>
      </c>
      <c r="J242" s="1">
        <f>'[1]Electricity and CHPs'!F$109</f>
        <v>3.9921156030347578E-2</v>
      </c>
      <c r="K242" s="1">
        <f>'[1]Electricity and CHPs'!G$109</f>
        <v>3.6162945092310675E-2</v>
      </c>
    </row>
    <row r="243" spans="1:11" x14ac:dyDescent="0.35">
      <c r="A243" s="5" t="s">
        <v>5</v>
      </c>
      <c r="B243" s="5" t="str">
        <f t="shared" si="98"/>
        <v>SPS4</v>
      </c>
      <c r="C243" s="5" t="s">
        <v>7</v>
      </c>
      <c r="D243" t="s">
        <v>173</v>
      </c>
      <c r="E243" t="str">
        <f>E199</f>
        <v>PJ/yr.</v>
      </c>
      <c r="F243" s="1">
        <f>'[1]Electricity and CHPs'!B$111</f>
        <v>0</v>
      </c>
      <c r="G243" s="1">
        <f>'[1]Electricity and CHPs'!C$111</f>
        <v>0</v>
      </c>
      <c r="H243" s="1">
        <f>'[1]Electricity and CHPs'!D$111</f>
        <v>0</v>
      </c>
      <c r="I243" s="1">
        <f>'[1]Electricity and CHPs'!E$111</f>
        <v>0</v>
      </c>
      <c r="J243" s="1">
        <f>'[1]Electricity and CHPs'!F$111</f>
        <v>0</v>
      </c>
      <c r="K243" s="1">
        <f>'[1]Electricity and CHPs'!G$111</f>
        <v>0</v>
      </c>
    </row>
    <row r="244" spans="1:11" x14ac:dyDescent="0.35">
      <c r="A244" s="5" t="s">
        <v>5</v>
      </c>
      <c r="B244" s="5" t="str">
        <f t="shared" ref="B244:B307" si="139">B243</f>
        <v>SPS4</v>
      </c>
      <c r="C244" s="5" t="s">
        <v>7</v>
      </c>
      <c r="D244" t="s">
        <v>174</v>
      </c>
      <c r="E244" t="str">
        <f>E200</f>
        <v>PJ/yr.</v>
      </c>
      <c r="F244" s="1">
        <f>'[1]Electricity and CHPs'!B$112</f>
        <v>8.906200307630821E-2</v>
      </c>
      <c r="G244" s="1">
        <f>'[1]Electricity and CHPs'!C$112</f>
        <v>5.6829455977522913E-3</v>
      </c>
      <c r="H244" s="1">
        <f>'[1]Electricity and CHPs'!D$112</f>
        <v>1.9972381936396118E-2</v>
      </c>
      <c r="I244" s="1">
        <f>'[1]Electricity and CHPs'!E$112</f>
        <v>1.4149489114686447</v>
      </c>
      <c r="J244" s="1">
        <f>'[1]Electricity and CHPs'!F$112</f>
        <v>34.608482248533932</v>
      </c>
      <c r="K244" s="1">
        <f>'[1]Electricity and CHPs'!G$112</f>
        <v>47.987031891138066</v>
      </c>
    </row>
    <row r="245" spans="1:11" x14ac:dyDescent="0.35">
      <c r="A245" s="5" t="s">
        <v>5</v>
      </c>
      <c r="B245" s="5" t="str">
        <f t="shared" si="139"/>
        <v>SPS4</v>
      </c>
      <c r="C245" s="5" t="s">
        <v>7</v>
      </c>
      <c r="D245" t="s">
        <v>175</v>
      </c>
      <c r="E245" t="str">
        <f>E202</f>
        <v>PJ/yr.</v>
      </c>
      <c r="F245" s="1">
        <f>'[1]Electricity and CHPs'!B$114</f>
        <v>0</v>
      </c>
      <c r="G245" s="1">
        <f>'[1]Electricity and CHPs'!C$114</f>
        <v>0</v>
      </c>
      <c r="H245" s="1">
        <f>'[1]Electricity and CHPs'!D$114</f>
        <v>0</v>
      </c>
      <c r="I245" s="1">
        <f>'[1]Electricity and CHPs'!E$114</f>
        <v>0</v>
      </c>
      <c r="J245" s="1">
        <f>'[1]Electricity and CHPs'!F$114</f>
        <v>0</v>
      </c>
      <c r="K245" s="1">
        <f>'[1]Electricity and CHPs'!G$114</f>
        <v>0</v>
      </c>
    </row>
    <row r="246" spans="1:11" x14ac:dyDescent="0.35">
      <c r="A246" s="5" t="s">
        <v>5</v>
      </c>
      <c r="B246" s="5" t="str">
        <f t="shared" si="139"/>
        <v>SPS4</v>
      </c>
      <c r="C246" s="5" t="s">
        <v>7</v>
      </c>
      <c r="D246" t="s">
        <v>176</v>
      </c>
      <c r="E246" t="str">
        <f>E226</f>
        <v>PJ/yr.</v>
      </c>
      <c r="F246" s="1">
        <f>'[1]Electricity and CHPs'!B$115</f>
        <v>1.4243287717123752</v>
      </c>
      <c r="G246" s="1">
        <f>'[1]Electricity and CHPs'!C$115</f>
        <v>1.5783458015457386</v>
      </c>
      <c r="H246" s="1">
        <f>'[1]Electricity and CHPs'!D$115</f>
        <v>1.4829422563040695</v>
      </c>
      <c r="I246" s="1">
        <f>'[1]Electricity and CHPs'!E$115</f>
        <v>1.3239316023850431</v>
      </c>
      <c r="J246" s="1">
        <f>'[1]Electricity and CHPs'!F$115</f>
        <v>1.005923199244338</v>
      </c>
      <c r="K246" s="1">
        <f>'[1]Electricity and CHPs'!G$115</f>
        <v>1.0059233034934909</v>
      </c>
    </row>
    <row r="247" spans="1:11" x14ac:dyDescent="0.35">
      <c r="A247" s="5" t="s">
        <v>5</v>
      </c>
      <c r="B247" s="5" t="str">
        <f t="shared" si="139"/>
        <v>SPS4</v>
      </c>
      <c r="C247" s="5" t="s">
        <v>7</v>
      </c>
      <c r="D247" t="s">
        <v>177</v>
      </c>
      <c r="E247" t="str">
        <f>E228</f>
        <v>PJ/yr.</v>
      </c>
      <c r="F247" s="1">
        <f>'[1]Electricity and CHPs'!B$116</f>
        <v>0.69259509160404931</v>
      </c>
      <c r="G247" s="1">
        <f>'[1]Electricity and CHPs'!C$116</f>
        <v>0.75022824803953425</v>
      </c>
      <c r="H247" s="1">
        <f>'[1]Electricity and CHPs'!D$116</f>
        <v>2.0399356513237456E-2</v>
      </c>
      <c r="I247" s="1">
        <f>'[1]Electricity and CHPs'!E$116</f>
        <v>2.1964273004481921E-2</v>
      </c>
      <c r="J247" s="1">
        <f>'[1]Electricity and CHPs'!F$116</f>
        <v>3.7850439865843626E-2</v>
      </c>
      <c r="K247" s="1">
        <f>'[1]Electricity and CHPs'!G$116</f>
        <v>8.9941244437166017E-4</v>
      </c>
    </row>
    <row r="248" spans="1:11" x14ac:dyDescent="0.35">
      <c r="A248" s="5" t="s">
        <v>5</v>
      </c>
      <c r="B248" s="5" t="str">
        <f t="shared" si="139"/>
        <v>SPS4</v>
      </c>
      <c r="C248" s="5" t="s">
        <v>7</v>
      </c>
      <c r="D248" t="s">
        <v>178</v>
      </c>
      <c r="E248" t="str">
        <f>E230</f>
        <v>PJ/yr.</v>
      </c>
      <c r="F248" s="1">
        <f>'[1]Electricity and CHPs'!B$118</f>
        <v>0</v>
      </c>
      <c r="G248" s="1">
        <f>'[1]Electricity and CHPs'!C$118</f>
        <v>0</v>
      </c>
      <c r="H248" s="1">
        <f>'[1]Electricity and CHPs'!D$118</f>
        <v>0</v>
      </c>
      <c r="I248" s="1">
        <f>'[1]Electricity and CHPs'!E$118</f>
        <v>1.3791713709037216E-4</v>
      </c>
      <c r="J248" s="1">
        <f>'[1]Electricity and CHPs'!F$118</f>
        <v>2.7226079221993743E-3</v>
      </c>
      <c r="K248" s="1">
        <f>'[1]Electricity and CHPs'!G$118</f>
        <v>1.7225641608785551</v>
      </c>
    </row>
    <row r="249" spans="1:11" x14ac:dyDescent="0.35">
      <c r="A249" s="5" t="s">
        <v>5</v>
      </c>
      <c r="B249" s="5" t="str">
        <f t="shared" si="139"/>
        <v>SPS4</v>
      </c>
      <c r="C249" s="5" t="s">
        <v>7</v>
      </c>
      <c r="D249" t="s">
        <v>839</v>
      </c>
      <c r="E249" t="str">
        <f>E172</f>
        <v>PJ/yr.</v>
      </c>
      <c r="F249" s="1">
        <f>SUM(F250:F259)</f>
        <v>1.5523410246283444</v>
      </c>
      <c r="G249" s="1">
        <f t="shared" ref="G249:K249" si="140">SUM(G250:G259)</f>
        <v>0.84689221084271027</v>
      </c>
      <c r="H249" s="1">
        <f t="shared" si="140"/>
        <v>0.12054800940545808</v>
      </c>
      <c r="I249" s="1">
        <f t="shared" si="140"/>
        <v>1.7428338458567827</v>
      </c>
      <c r="J249" s="1">
        <f t="shared" si="140"/>
        <v>33.766616768628182</v>
      </c>
      <c r="K249" s="1">
        <f t="shared" si="140"/>
        <v>49.126878782457325</v>
      </c>
    </row>
    <row r="250" spans="1:11" x14ac:dyDescent="0.35">
      <c r="A250" s="5" t="s">
        <v>5</v>
      </c>
      <c r="B250" s="5" t="str">
        <f t="shared" si="139"/>
        <v>SPS4</v>
      </c>
      <c r="C250" s="5" t="s">
        <v>7</v>
      </c>
      <c r="D250" t="s">
        <v>569</v>
      </c>
      <c r="E250" t="str">
        <f>E172</f>
        <v>PJ/yr.</v>
      </c>
      <c r="F250" s="1">
        <f t="shared" ref="F250:K252" si="141">F239-F261</f>
        <v>0.75137507008103133</v>
      </c>
      <c r="G250" s="1">
        <f t="shared" si="141"/>
        <v>0.10029693741352858</v>
      </c>
      <c r="H250" s="1">
        <f t="shared" si="141"/>
        <v>6.9072839612526235E-2</v>
      </c>
      <c r="I250" s="1">
        <f t="shared" si="141"/>
        <v>0.41050571666895752</v>
      </c>
      <c r="J250" s="1">
        <f t="shared" si="141"/>
        <v>6.4974748617537756E-2</v>
      </c>
      <c r="K250" s="1">
        <f t="shared" si="141"/>
        <v>1.3922630041437473E-2</v>
      </c>
    </row>
    <row r="251" spans="1:11" x14ac:dyDescent="0.35">
      <c r="A251" s="5" t="s">
        <v>5</v>
      </c>
      <c r="B251" s="5" t="str">
        <f t="shared" si="139"/>
        <v>SPS4</v>
      </c>
      <c r="C251" s="5" t="s">
        <v>7</v>
      </c>
      <c r="D251" t="s">
        <v>570</v>
      </c>
      <c r="E251" t="str">
        <f>E173</f>
        <v>PJ/yr.</v>
      </c>
      <c r="F251" s="1">
        <f t="shared" si="141"/>
        <v>0</v>
      </c>
      <c r="G251" s="1">
        <f t="shared" si="141"/>
        <v>0</v>
      </c>
      <c r="H251" s="1">
        <f t="shared" si="141"/>
        <v>0</v>
      </c>
      <c r="I251" s="1">
        <f t="shared" si="141"/>
        <v>0</v>
      </c>
      <c r="J251" s="1">
        <f t="shared" si="141"/>
        <v>0</v>
      </c>
      <c r="K251" s="1">
        <f t="shared" si="141"/>
        <v>0</v>
      </c>
    </row>
    <row r="252" spans="1:11" x14ac:dyDescent="0.35">
      <c r="A252" s="5" t="s">
        <v>5</v>
      </c>
      <c r="B252" s="5" t="str">
        <f t="shared" si="139"/>
        <v>SPS4</v>
      </c>
      <c r="C252" s="5" t="s">
        <v>7</v>
      </c>
      <c r="D252" t="s">
        <v>571</v>
      </c>
      <c r="E252" t="str">
        <f>E174</f>
        <v>PJ/yr.</v>
      </c>
      <c r="F252" s="1">
        <f t="shared" si="141"/>
        <v>0</v>
      </c>
      <c r="G252" s="1">
        <f t="shared" si="141"/>
        <v>0</v>
      </c>
      <c r="H252" s="1">
        <f t="shared" si="141"/>
        <v>0</v>
      </c>
      <c r="I252" s="1">
        <f t="shared" si="141"/>
        <v>2.6596887316703634E-4</v>
      </c>
      <c r="J252" s="1">
        <f t="shared" si="141"/>
        <v>1.3071333882461865E-3</v>
      </c>
      <c r="K252" s="1">
        <f t="shared" si="141"/>
        <v>9.8118906461706163E-4</v>
      </c>
    </row>
    <row r="253" spans="1:11" x14ac:dyDescent="0.35">
      <c r="A253" s="5" t="s">
        <v>5</v>
      </c>
      <c r="B253" s="5" t="str">
        <f t="shared" si="139"/>
        <v>SPS4</v>
      </c>
      <c r="C253" s="5" t="s">
        <v>7</v>
      </c>
      <c r="D253" t="s">
        <v>572</v>
      </c>
      <c r="E253" t="str">
        <f>E197</f>
        <v>PJ/yr.</v>
      </c>
      <c r="F253" s="1">
        <f>F242-F264</f>
        <v>3.9082898570281042E-2</v>
      </c>
      <c r="G253" s="1">
        <f t="shared" ref="G253:K253" si="142">G242-G264</f>
        <v>5.7974543420846805E-3</v>
      </c>
      <c r="H253" s="1">
        <f t="shared" si="142"/>
        <v>1.3703939944926212E-2</v>
      </c>
      <c r="I253" s="1">
        <f t="shared" si="142"/>
        <v>1.9898643575410904E-2</v>
      </c>
      <c r="J253" s="1">
        <f t="shared" si="142"/>
        <v>3.8783396481350707E-2</v>
      </c>
      <c r="K253" s="1">
        <f t="shared" si="142"/>
        <v>3.5701566914362652E-2</v>
      </c>
    </row>
    <row r="254" spans="1:11" x14ac:dyDescent="0.35">
      <c r="A254" s="5" t="s">
        <v>5</v>
      </c>
      <c r="B254" s="5" t="str">
        <f t="shared" si="139"/>
        <v>SPS4</v>
      </c>
      <c r="C254" s="5" t="s">
        <v>7</v>
      </c>
      <c r="D254" t="s">
        <v>573</v>
      </c>
      <c r="E254" t="str">
        <f>E199</f>
        <v>PJ/yr.</v>
      </c>
      <c r="F254" s="1">
        <f t="shared" ref="F254:K254" si="143">F243-F265</f>
        <v>0</v>
      </c>
      <c r="G254" s="1">
        <f t="shared" si="143"/>
        <v>0</v>
      </c>
      <c r="H254" s="1">
        <f t="shared" si="143"/>
        <v>0</v>
      </c>
      <c r="I254" s="1">
        <f t="shared" si="143"/>
        <v>0</v>
      </c>
      <c r="J254" s="1">
        <f t="shared" si="143"/>
        <v>0</v>
      </c>
      <c r="K254" s="1">
        <f t="shared" si="143"/>
        <v>0</v>
      </c>
    </row>
    <row r="255" spans="1:11" x14ac:dyDescent="0.35">
      <c r="A255" s="5" t="s">
        <v>5</v>
      </c>
      <c r="B255" s="5" t="str">
        <f t="shared" si="139"/>
        <v>SPS4</v>
      </c>
      <c r="C255" s="5" t="s">
        <v>7</v>
      </c>
      <c r="D255" t="s">
        <v>574</v>
      </c>
      <c r="E255" t="str">
        <f>E201</f>
        <v>PJ/yr.</v>
      </c>
      <c r="F255" s="1">
        <f t="shared" ref="F255:K255" si="144">F244-F266</f>
        <v>8.6808949265612903E-2</v>
      </c>
      <c r="G255" s="1">
        <f t="shared" si="144"/>
        <v>5.5693231430378638E-3</v>
      </c>
      <c r="H255" s="1">
        <f t="shared" si="144"/>
        <v>1.8685879223975327E-2</v>
      </c>
      <c r="I255" s="1">
        <f t="shared" si="144"/>
        <v>1.2919821275657457</v>
      </c>
      <c r="J255" s="1">
        <f t="shared" si="144"/>
        <v>33.622134780924902</v>
      </c>
      <c r="K255" s="1">
        <f t="shared" si="144"/>
        <v>47.374798311086678</v>
      </c>
    </row>
    <row r="256" spans="1:11" x14ac:dyDescent="0.35">
      <c r="A256" s="5" t="s">
        <v>5</v>
      </c>
      <c r="B256" s="5" t="str">
        <f t="shared" si="139"/>
        <v>SPS4</v>
      </c>
      <c r="C256" s="5" t="s">
        <v>7</v>
      </c>
      <c r="D256" t="s">
        <v>575</v>
      </c>
      <c r="E256" t="str">
        <f>E202</f>
        <v>PJ/yr.</v>
      </c>
      <c r="F256" s="1">
        <f t="shared" ref="F256:K257" si="145">F245-F267</f>
        <v>0</v>
      </c>
      <c r="G256" s="1">
        <f t="shared" si="145"/>
        <v>0</v>
      </c>
      <c r="H256" s="1">
        <f t="shared" si="145"/>
        <v>0</v>
      </c>
      <c r="I256" s="1">
        <f t="shared" si="145"/>
        <v>0</v>
      </c>
      <c r="J256" s="1">
        <f t="shared" si="145"/>
        <v>0</v>
      </c>
      <c r="K256" s="1">
        <f t="shared" si="145"/>
        <v>0</v>
      </c>
    </row>
    <row r="257" spans="1:18" x14ac:dyDescent="0.35">
      <c r="A257" s="5" t="s">
        <v>5</v>
      </c>
      <c r="B257" s="5" t="str">
        <f t="shared" si="139"/>
        <v>SPS4</v>
      </c>
      <c r="C257" s="5" t="s">
        <v>7</v>
      </c>
      <c r="D257" t="s">
        <v>576</v>
      </c>
      <c r="E257" t="str">
        <f>E239</f>
        <v>PJ/yr.</v>
      </c>
      <c r="F257" s="1">
        <f t="shared" si="145"/>
        <v>0</v>
      </c>
      <c r="G257" s="1">
        <f t="shared" ref="G257:K257" si="146">G246-G268</f>
        <v>0</v>
      </c>
      <c r="H257" s="1">
        <f t="shared" si="146"/>
        <v>0</v>
      </c>
      <c r="I257" s="1">
        <f t="shared" si="146"/>
        <v>0</v>
      </c>
      <c r="J257" s="1">
        <f t="shared" si="146"/>
        <v>0</v>
      </c>
      <c r="K257" s="1">
        <f t="shared" si="146"/>
        <v>0</v>
      </c>
    </row>
    <row r="258" spans="1:18" x14ac:dyDescent="0.35">
      <c r="A258" s="5" t="s">
        <v>5</v>
      </c>
      <c r="B258" s="5" t="str">
        <f t="shared" si="139"/>
        <v>SPS4</v>
      </c>
      <c r="C258" s="5" t="s">
        <v>7</v>
      </c>
      <c r="D258" t="s">
        <v>577</v>
      </c>
      <c r="E258" t="str">
        <f>E241</f>
        <v>PJ/yr.</v>
      </c>
      <c r="F258" s="1">
        <f t="shared" ref="F258:K258" si="147">F247-F269</f>
        <v>0.67507410671141921</v>
      </c>
      <c r="G258" s="1">
        <f t="shared" si="147"/>
        <v>0.73522849594405915</v>
      </c>
      <c r="H258" s="1">
        <f t="shared" si="147"/>
        <v>1.9085350624030318E-2</v>
      </c>
      <c r="I258" s="1">
        <f t="shared" si="147"/>
        <v>2.0055457788444874E-2</v>
      </c>
      <c r="J258" s="1">
        <f t="shared" si="147"/>
        <v>3.677169606998866E-2</v>
      </c>
      <c r="K258" s="1">
        <f t="shared" si="147"/>
        <v>8.8793745875451224E-4</v>
      </c>
    </row>
    <row r="259" spans="1:18" x14ac:dyDescent="0.35">
      <c r="A259" s="5" t="s">
        <v>5</v>
      </c>
      <c r="B259" s="5" t="str">
        <f t="shared" si="139"/>
        <v>SPS4</v>
      </c>
      <c r="C259" s="5" t="s">
        <v>7</v>
      </c>
      <c r="D259" t="s">
        <v>578</v>
      </c>
      <c r="E259" t="str">
        <f>E243</f>
        <v>PJ/yr.</v>
      </c>
      <c r="F259" s="1">
        <f t="shared" ref="F259:K259" si="148">F248-F270</f>
        <v>0</v>
      </c>
      <c r="G259" s="1">
        <f t="shared" si="148"/>
        <v>0</v>
      </c>
      <c r="H259" s="1">
        <f t="shared" si="148"/>
        <v>0</v>
      </c>
      <c r="I259" s="1">
        <f t="shared" si="148"/>
        <v>1.2593138505675601E-4</v>
      </c>
      <c r="J259" s="1">
        <f t="shared" si="148"/>
        <v>2.6450131461537595E-3</v>
      </c>
      <c r="K259" s="1">
        <f t="shared" si="148"/>
        <v>1.7005871478914767</v>
      </c>
    </row>
    <row r="260" spans="1:18" x14ac:dyDescent="0.35">
      <c r="A260" s="5" t="s">
        <v>5</v>
      </c>
      <c r="B260" s="5" t="str">
        <f t="shared" si="139"/>
        <v>SPS4</v>
      </c>
      <c r="C260" s="5" t="s">
        <v>7</v>
      </c>
      <c r="D260" t="s">
        <v>840</v>
      </c>
      <c r="E260" t="str">
        <f>E173</f>
        <v>PJ/yr.</v>
      </c>
      <c r="F260" s="1">
        <f>SUM(F261:F270)</f>
        <v>1.464618487123353</v>
      </c>
      <c r="G260" s="1">
        <f t="shared" ref="G260:K260" si="149">SUM(G261:G270)</f>
        <v>1.5956236590884036</v>
      </c>
      <c r="H260" s="1">
        <f t="shared" si="149"/>
        <v>1.4912418572603929</v>
      </c>
      <c r="I260" s="1">
        <f t="shared" si="149"/>
        <v>1.4898090308181415</v>
      </c>
      <c r="J260" s="1">
        <f t="shared" si="149"/>
        <v>1.9965092270642146</v>
      </c>
      <c r="K260" s="1">
        <f t="shared" si="149"/>
        <v>1.6407993546005115</v>
      </c>
      <c r="M260" s="1"/>
      <c r="N260" s="1"/>
      <c r="O260" s="1"/>
      <c r="P260" s="1"/>
      <c r="Q260" s="1"/>
      <c r="R260" s="1"/>
    </row>
    <row r="261" spans="1:18" x14ac:dyDescent="0.35">
      <c r="A261" s="5" t="s">
        <v>5</v>
      </c>
      <c r="B261" s="5" t="str">
        <f t="shared" si="139"/>
        <v>SPS4</v>
      </c>
      <c r="C261" s="5" t="s">
        <v>7</v>
      </c>
      <c r="D261" t="s">
        <v>630</v>
      </c>
      <c r="E261" t="str">
        <f>E175</f>
        <v>PJ/yr.</v>
      </c>
      <c r="F261" s="1">
        <f t="shared" ref="F261:K270" si="150">F239*IFERROR(F118/F86,0)</f>
        <v>1.9501312701386633E-2</v>
      </c>
      <c r="G261" s="1">
        <f t="shared" si="150"/>
        <v>2.0462063228473899E-3</v>
      </c>
      <c r="H261" s="1">
        <f t="shared" si="150"/>
        <v>4.7555908100970993E-3</v>
      </c>
      <c r="I261" s="1">
        <f t="shared" si="150"/>
        <v>3.9070639349821495E-2</v>
      </c>
      <c r="J261" s="1">
        <f t="shared" si="150"/>
        <v>1.9061156935757935E-3</v>
      </c>
      <c r="K261" s="1">
        <f t="shared" si="150"/>
        <v>1.7992481103619719E-4</v>
      </c>
    </row>
    <row r="262" spans="1:18" x14ac:dyDescent="0.35">
      <c r="A262" s="5" t="s">
        <v>5</v>
      </c>
      <c r="B262" s="5" t="str">
        <f t="shared" si="139"/>
        <v>SPS4</v>
      </c>
      <c r="C262" s="5" t="s">
        <v>7</v>
      </c>
      <c r="D262" t="s">
        <v>631</v>
      </c>
      <c r="E262" t="str">
        <f>E176</f>
        <v>PJ/yr.</v>
      </c>
      <c r="F262" s="1">
        <f t="shared" si="150"/>
        <v>0</v>
      </c>
      <c r="G262" s="1">
        <f t="shared" si="150"/>
        <v>0</v>
      </c>
      <c r="H262" s="1">
        <f t="shared" si="150"/>
        <v>0</v>
      </c>
      <c r="I262" s="1">
        <f t="shared" si="150"/>
        <v>0</v>
      </c>
      <c r="J262" s="1">
        <f t="shared" si="150"/>
        <v>0</v>
      </c>
      <c r="K262" s="1">
        <f t="shared" si="150"/>
        <v>0</v>
      </c>
    </row>
    <row r="263" spans="1:18" x14ac:dyDescent="0.35">
      <c r="A263" s="5" t="s">
        <v>5</v>
      </c>
      <c r="B263" s="5" t="str">
        <f t="shared" si="139"/>
        <v>SPS4</v>
      </c>
      <c r="C263" s="5" t="s">
        <v>7</v>
      </c>
      <c r="D263" t="s">
        <v>632</v>
      </c>
      <c r="E263" t="str">
        <f>E177</f>
        <v>PJ/yr.</v>
      </c>
      <c r="F263" s="1">
        <f t="shared" si="150"/>
        <v>0</v>
      </c>
      <c r="G263" s="1">
        <f t="shared" si="150"/>
        <v>0</v>
      </c>
      <c r="H263" s="1">
        <f t="shared" si="150"/>
        <v>0</v>
      </c>
      <c r="I263" s="1">
        <f t="shared" si="150"/>
        <v>2.5314078464265889E-5</v>
      </c>
      <c r="J263" s="1">
        <f t="shared" si="150"/>
        <v>3.8346396376213863E-5</v>
      </c>
      <c r="K263" s="1">
        <f t="shared" si="150"/>
        <v>1.2680093956140242E-5</v>
      </c>
    </row>
    <row r="264" spans="1:18" x14ac:dyDescent="0.35">
      <c r="A264" s="5" t="s">
        <v>5</v>
      </c>
      <c r="B264" s="5" t="str">
        <f t="shared" si="139"/>
        <v>SPS4</v>
      </c>
      <c r="C264" s="5" t="s">
        <v>7</v>
      </c>
      <c r="D264" t="s">
        <v>633</v>
      </c>
      <c r="E264" t="str">
        <f>E203</f>
        <v>PJ/yr.</v>
      </c>
      <c r="F264" s="1">
        <f t="shared" si="150"/>
        <v>1.0143640062657813E-3</v>
      </c>
      <c r="G264" s="1">
        <f t="shared" si="150"/>
        <v>1.1827666962832519E-4</v>
      </c>
      <c r="H264" s="1">
        <f t="shared" si="150"/>
        <v>9.4350154459836501E-4</v>
      </c>
      <c r="I264" s="1">
        <f t="shared" si="150"/>
        <v>1.8938901338430812E-3</v>
      </c>
      <c r="J264" s="1">
        <f t="shared" si="150"/>
        <v>1.1377595489968704E-3</v>
      </c>
      <c r="K264" s="1">
        <f t="shared" si="150"/>
        <v>4.613781779480244E-4</v>
      </c>
    </row>
    <row r="265" spans="1:18" x14ac:dyDescent="0.35">
      <c r="A265" s="5" t="s">
        <v>5</v>
      </c>
      <c r="B265" s="5" t="str">
        <f t="shared" si="139"/>
        <v>SPS4</v>
      </c>
      <c r="C265" s="5" t="s">
        <v>7</v>
      </c>
      <c r="D265" t="s">
        <v>634</v>
      </c>
      <c r="E265" t="str">
        <f>E205</f>
        <v>PJ/yr.</v>
      </c>
      <c r="F265" s="1">
        <f t="shared" si="150"/>
        <v>0</v>
      </c>
      <c r="G265" s="1">
        <f t="shared" si="150"/>
        <v>0</v>
      </c>
      <c r="H265" s="1">
        <f t="shared" si="150"/>
        <v>0</v>
      </c>
      <c r="I265" s="1">
        <f t="shared" si="150"/>
        <v>0</v>
      </c>
      <c r="J265" s="1">
        <f t="shared" si="150"/>
        <v>0</v>
      </c>
      <c r="K265" s="1">
        <f t="shared" si="150"/>
        <v>0</v>
      </c>
    </row>
    <row r="266" spans="1:18" x14ac:dyDescent="0.35">
      <c r="A266" s="5" t="s">
        <v>5</v>
      </c>
      <c r="B266" s="5" t="str">
        <f t="shared" si="139"/>
        <v>SPS4</v>
      </c>
      <c r="C266" s="5" t="s">
        <v>7</v>
      </c>
      <c r="D266" t="s">
        <v>635</v>
      </c>
      <c r="E266" t="str">
        <f>E207</f>
        <v>PJ/yr.</v>
      </c>
      <c r="F266" s="1">
        <f t="shared" si="150"/>
        <v>2.2530538106953117E-3</v>
      </c>
      <c r="G266" s="1">
        <f t="shared" si="150"/>
        <v>1.1362245471442706E-4</v>
      </c>
      <c r="H266" s="1">
        <f t="shared" si="150"/>
        <v>1.2865027124207924E-3</v>
      </c>
      <c r="I266" s="1">
        <f t="shared" si="150"/>
        <v>0.12296678390289885</v>
      </c>
      <c r="J266" s="1">
        <f t="shared" si="150"/>
        <v>0.98634746760902692</v>
      </c>
      <c r="K266" s="1">
        <f t="shared" si="150"/>
        <v>0.61223358005138484</v>
      </c>
    </row>
    <row r="267" spans="1:18" x14ac:dyDescent="0.35">
      <c r="A267" s="5" t="s">
        <v>5</v>
      </c>
      <c r="B267" s="5" t="str">
        <f t="shared" si="139"/>
        <v>SPS4</v>
      </c>
      <c r="C267" s="5" t="s">
        <v>7</v>
      </c>
      <c r="D267" t="s">
        <v>636</v>
      </c>
      <c r="E267" t="str">
        <f>E208</f>
        <v>PJ/yr.</v>
      </c>
      <c r="F267" s="1">
        <f t="shared" si="150"/>
        <v>0</v>
      </c>
      <c r="G267" s="1">
        <f t="shared" si="150"/>
        <v>0</v>
      </c>
      <c r="H267" s="1">
        <f t="shared" si="150"/>
        <v>0</v>
      </c>
      <c r="I267" s="1">
        <f t="shared" si="150"/>
        <v>0</v>
      </c>
      <c r="J267" s="1">
        <f t="shared" si="150"/>
        <v>0</v>
      </c>
      <c r="K267" s="1">
        <f t="shared" si="150"/>
        <v>0</v>
      </c>
    </row>
    <row r="268" spans="1:18" x14ac:dyDescent="0.35">
      <c r="A268" s="5" t="s">
        <v>5</v>
      </c>
      <c r="B268" s="5" t="str">
        <f t="shared" si="139"/>
        <v>SPS4</v>
      </c>
      <c r="C268" s="5" t="s">
        <v>7</v>
      </c>
      <c r="D268" t="s">
        <v>637</v>
      </c>
      <c r="E268" t="str">
        <f>E231</f>
        <v>PJ/yr.</v>
      </c>
      <c r="F268" s="1">
        <f t="shared" si="150"/>
        <v>1.4243287717123752</v>
      </c>
      <c r="G268" s="1">
        <f t="shared" si="150"/>
        <v>1.5783458015457386</v>
      </c>
      <c r="H268" s="1">
        <f t="shared" si="150"/>
        <v>1.4829422563040695</v>
      </c>
      <c r="I268" s="1">
        <f t="shared" si="150"/>
        <v>1.3239316023850431</v>
      </c>
      <c r="J268" s="1">
        <f t="shared" si="150"/>
        <v>1.005923199244338</v>
      </c>
      <c r="K268" s="1">
        <f t="shared" si="150"/>
        <v>1.0059233034934909</v>
      </c>
    </row>
    <row r="269" spans="1:18" x14ac:dyDescent="0.35">
      <c r="A269" s="5" t="s">
        <v>5</v>
      </c>
      <c r="B269" s="5" t="str">
        <f t="shared" si="139"/>
        <v>SPS4</v>
      </c>
      <c r="C269" s="5" t="s">
        <v>7</v>
      </c>
      <c r="D269" t="s">
        <v>638</v>
      </c>
      <c r="E269" t="str">
        <f>E233</f>
        <v>PJ/yr.</v>
      </c>
      <c r="F269" s="1">
        <f t="shared" si="150"/>
        <v>1.7520984892630102E-2</v>
      </c>
      <c r="G269" s="1">
        <f t="shared" si="150"/>
        <v>1.4999752095475102E-2</v>
      </c>
      <c r="H269" s="1">
        <f t="shared" si="150"/>
        <v>1.3140058892071372E-3</v>
      </c>
      <c r="I269" s="1">
        <f t="shared" si="150"/>
        <v>1.9088152160370456E-3</v>
      </c>
      <c r="J269" s="1">
        <f t="shared" si="150"/>
        <v>1.0787437958549634E-3</v>
      </c>
      <c r="K269" s="1">
        <f t="shared" si="150"/>
        <v>1.1474985617147934E-5</v>
      </c>
    </row>
    <row r="270" spans="1:18" x14ac:dyDescent="0.35">
      <c r="A270" s="5" t="s">
        <v>5</v>
      </c>
      <c r="B270" s="5" t="str">
        <f t="shared" si="139"/>
        <v>SPS4</v>
      </c>
      <c r="C270" s="5" t="s">
        <v>7</v>
      </c>
      <c r="D270" t="s">
        <v>639</v>
      </c>
      <c r="E270" t="str">
        <f>E237</f>
        <v>PJ/yr.</v>
      </c>
      <c r="F270" s="1">
        <f t="shared" si="150"/>
        <v>0</v>
      </c>
      <c r="G270" s="1">
        <f t="shared" si="150"/>
        <v>0</v>
      </c>
      <c r="H270" s="1">
        <f t="shared" si="150"/>
        <v>0</v>
      </c>
      <c r="I270" s="1">
        <f t="shared" si="150"/>
        <v>1.1985752033616154E-5</v>
      </c>
      <c r="J270" s="1">
        <f t="shared" si="150"/>
        <v>7.7594776045614844E-5</v>
      </c>
      <c r="K270" s="1">
        <f t="shared" si="150"/>
        <v>2.1977012987078416E-2</v>
      </c>
    </row>
    <row r="271" spans="1:18" x14ac:dyDescent="0.35">
      <c r="A271" s="5" t="s">
        <v>5</v>
      </c>
      <c r="B271" s="5" t="str">
        <f t="shared" si="139"/>
        <v>SPS4</v>
      </c>
      <c r="C271" s="5" t="s">
        <v>7</v>
      </c>
      <c r="D271" t="s">
        <v>841</v>
      </c>
      <c r="E271" t="str">
        <f>E177</f>
        <v>PJ/yr.</v>
      </c>
      <c r="F271" s="1">
        <f>SUM(F272:F273)</f>
        <v>1.9349254428169831</v>
      </c>
      <c r="G271" s="1">
        <f t="shared" ref="G271:K271" si="151">SUM(G272:G273)</f>
        <v>1.8587918092655271</v>
      </c>
      <c r="H271" s="1">
        <f t="shared" si="151"/>
        <v>2.5503082954781395</v>
      </c>
      <c r="I271" s="1">
        <f t="shared" si="151"/>
        <v>2.2433593950249899</v>
      </c>
      <c r="J271" s="1">
        <f t="shared" si="151"/>
        <v>1.6589366192440307</v>
      </c>
      <c r="K271" s="1">
        <f t="shared" si="151"/>
        <v>1.0997786029778243</v>
      </c>
    </row>
    <row r="272" spans="1:18" x14ac:dyDescent="0.35">
      <c r="A272" s="5" t="s">
        <v>5</v>
      </c>
      <c r="B272" s="5" t="str">
        <f t="shared" si="139"/>
        <v>SPS4</v>
      </c>
      <c r="C272" s="5" t="s">
        <v>7</v>
      </c>
      <c r="D272" t="s">
        <v>179</v>
      </c>
      <c r="E272" t="str">
        <f>E178</f>
        <v>PJ/yr.</v>
      </c>
      <c r="F272" s="1">
        <f>'[1]Electricity and CHPs'!B$106-F273</f>
        <v>1.9349254428169831</v>
      </c>
      <c r="G272" s="1">
        <f>'[1]Electricity and CHPs'!C$106-G273</f>
        <v>1.8587918092655271</v>
      </c>
      <c r="H272" s="1">
        <f>'[1]Electricity and CHPs'!D$106-H273</f>
        <v>2.5503082954781395</v>
      </c>
      <c r="I272" s="1">
        <f>'[1]Electricity and CHPs'!E$106-I273</f>
        <v>2.2433593950249899</v>
      </c>
      <c r="J272" s="1">
        <f>'[1]Electricity and CHPs'!F$106-J273</f>
        <v>1.6589366192440307</v>
      </c>
      <c r="K272" s="1">
        <f>'[1]Electricity and CHPs'!G$106-K273</f>
        <v>1.0997786029778243</v>
      </c>
    </row>
    <row r="273" spans="1:11" x14ac:dyDescent="0.35">
      <c r="A273" s="5" t="s">
        <v>5</v>
      </c>
      <c r="B273" s="5" t="str">
        <f t="shared" si="139"/>
        <v>SPS4</v>
      </c>
      <c r="C273" s="5" t="s">
        <v>7</v>
      </c>
      <c r="D273" t="s">
        <v>180</v>
      </c>
      <c r="E273" t="str">
        <f>E179</f>
        <v>PJ/yr.</v>
      </c>
      <c r="F273" s="10" cm="1">
        <f t="array" ref="F273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3" s="10" cm="1">
        <f t="array" ref="G273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3" s="10" cm="1">
        <f t="array" ref="H273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3" s="10" cm="1">
        <f t="array" ref="I273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3" s="10" cm="1">
        <f t="array" ref="J273">SUMPRODUCT((ISNUMBER(SEARCH("itot*CHPWST*ccs*",[1]OUT_Electricity_CHP!$B$1:$B$10000)))*1,([1]OUT_Electricity_CHP!$C$1:$C$10000="Var_Fout")*1,+([1]OUT_Electricity_CHP!$D$1:$D$10000="ITOT_LTH_CHP")*1,[1]OUT_Electricity_CHP!I$1:I$10000)</f>
        <v>0</v>
      </c>
      <c r="K273" s="10" cm="1">
        <f t="array" ref="K273">SUMPRODUCT((ISNUMBER(SEARCH("itot*CHPWST*ccs*",[1]OUT_Electricity_CHP!$B$1:$B$10000)))*1,([1]OUT_Electricity_CHP!$C$1:$C$10000="Var_Fout")*1,+([1]OUT_Electricity_CHP!$D$1:$D$10000="ITOT_LTH_CHP")*1,[1]OUT_Electricity_CHP!J$1:J$10000)</f>
        <v>0</v>
      </c>
    </row>
    <row r="274" spans="1:11" x14ac:dyDescent="0.35">
      <c r="A274" s="5" t="s">
        <v>5</v>
      </c>
      <c r="B274" s="5" t="str">
        <f t="shared" si="139"/>
        <v>SPS4</v>
      </c>
      <c r="C274" s="5" t="s">
        <v>7</v>
      </c>
      <c r="D274" t="s">
        <v>842</v>
      </c>
      <c r="E274" t="str">
        <f>E179</f>
        <v>PJ/yr.</v>
      </c>
      <c r="F274" s="10">
        <f>SUM(F275:F276)</f>
        <v>0</v>
      </c>
      <c r="G274" s="10">
        <f t="shared" ref="G274:K274" si="152">SUM(G275:G276)</f>
        <v>0</v>
      </c>
      <c r="H274" s="10">
        <f t="shared" si="152"/>
        <v>0</v>
      </c>
      <c r="I274" s="10">
        <f t="shared" si="152"/>
        <v>0</v>
      </c>
      <c r="J274" s="10">
        <f t="shared" si="152"/>
        <v>0</v>
      </c>
      <c r="K274" s="10">
        <f t="shared" si="152"/>
        <v>0</v>
      </c>
    </row>
    <row r="275" spans="1:11" x14ac:dyDescent="0.35">
      <c r="A275" s="5" t="s">
        <v>5</v>
      </c>
      <c r="B275" s="5" t="str">
        <f t="shared" si="139"/>
        <v>SPS4</v>
      </c>
      <c r="C275" s="5" t="s">
        <v>7</v>
      </c>
      <c r="D275" t="s">
        <v>181</v>
      </c>
      <c r="E275" t="str">
        <f>E180</f>
        <v>PJ/yr.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</row>
    <row r="276" spans="1:11" x14ac:dyDescent="0.35">
      <c r="A276" s="5" t="s">
        <v>5</v>
      </c>
      <c r="B276" s="5" t="str">
        <f t="shared" si="139"/>
        <v>SPS4</v>
      </c>
      <c r="C276" s="5" t="s">
        <v>7</v>
      </c>
      <c r="D276" t="s">
        <v>182</v>
      </c>
      <c r="E276" t="str">
        <f>E181</f>
        <v>PJ/yr.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</row>
    <row r="277" spans="1:11" x14ac:dyDescent="0.35">
      <c r="A277" s="5" t="s">
        <v>5</v>
      </c>
      <c r="B277" s="5" t="str">
        <f t="shared" si="139"/>
        <v>SPS4</v>
      </c>
      <c r="C277" s="5" t="s">
        <v>7</v>
      </c>
      <c r="D277" t="s">
        <v>843</v>
      </c>
      <c r="E277" t="str">
        <f>E182</f>
        <v>PJ/yr.</v>
      </c>
      <c r="F277" s="1">
        <f>SUM(F278:F279)</f>
        <v>1.9349254428169831</v>
      </c>
      <c r="G277" s="1">
        <f t="shared" ref="G277:K277" si="153">SUM(G278:G279)</f>
        <v>1.8587918092655271</v>
      </c>
      <c r="H277" s="1">
        <f t="shared" si="153"/>
        <v>2.5503082954781395</v>
      </c>
      <c r="I277" s="1">
        <f t="shared" si="153"/>
        <v>2.2433593950249899</v>
      </c>
      <c r="J277" s="1">
        <f t="shared" si="153"/>
        <v>1.6589366192440307</v>
      </c>
      <c r="K277" s="1">
        <f t="shared" si="153"/>
        <v>1.0997786029778243</v>
      </c>
    </row>
    <row r="278" spans="1:11" x14ac:dyDescent="0.35">
      <c r="A278" s="5" t="s">
        <v>5</v>
      </c>
      <c r="B278" s="5" t="str">
        <f t="shared" si="139"/>
        <v>SPS4</v>
      </c>
      <c r="C278" s="5" t="s">
        <v>7</v>
      </c>
      <c r="D278" t="s">
        <v>183</v>
      </c>
      <c r="E278" t="str">
        <f>E183</f>
        <v>PJ/yr.</v>
      </c>
      <c r="F278" s="1">
        <f>F272</f>
        <v>1.9349254428169831</v>
      </c>
      <c r="G278" s="1">
        <f t="shared" ref="G278:K278" si="154">G272</f>
        <v>1.8587918092655271</v>
      </c>
      <c r="H278" s="1">
        <f t="shared" si="154"/>
        <v>2.5503082954781395</v>
      </c>
      <c r="I278" s="1">
        <f t="shared" si="154"/>
        <v>2.2433593950249899</v>
      </c>
      <c r="J278" s="1">
        <f t="shared" si="154"/>
        <v>1.6589366192440307</v>
      </c>
      <c r="K278" s="1">
        <f t="shared" si="154"/>
        <v>1.0997786029778243</v>
      </c>
    </row>
    <row r="279" spans="1:11" x14ac:dyDescent="0.35">
      <c r="A279" s="5" t="s">
        <v>5</v>
      </c>
      <c r="B279" s="5" t="str">
        <f t="shared" si="139"/>
        <v>SPS4</v>
      </c>
      <c r="C279" s="5" t="s">
        <v>7</v>
      </c>
      <c r="D279" t="s">
        <v>184</v>
      </c>
      <c r="E279" t="str">
        <f>E185</f>
        <v>PJ/yr.</v>
      </c>
      <c r="F279" s="1">
        <f t="shared" ref="F279:K279" si="155">F273</f>
        <v>0</v>
      </c>
      <c r="G279" s="1">
        <f t="shared" si="155"/>
        <v>0</v>
      </c>
      <c r="H279" s="1">
        <f t="shared" si="155"/>
        <v>0</v>
      </c>
      <c r="I279" s="1">
        <f t="shared" si="155"/>
        <v>0</v>
      </c>
      <c r="J279" s="1">
        <f t="shared" si="155"/>
        <v>0</v>
      </c>
      <c r="K279" s="1">
        <f t="shared" si="155"/>
        <v>0</v>
      </c>
    </row>
    <row r="280" spans="1:11" x14ac:dyDescent="0.35">
      <c r="A280" s="5" t="s">
        <v>5</v>
      </c>
      <c r="B280" s="5" t="str">
        <f t="shared" si="139"/>
        <v>SPS4</v>
      </c>
      <c r="C280" s="5" t="s">
        <v>7</v>
      </c>
      <c r="D280" t="s">
        <v>844</v>
      </c>
      <c r="E280" t="str">
        <f>E186</f>
        <v>PJ/yr.</v>
      </c>
      <c r="F280" s="1">
        <f>SUM(F281:F285)</f>
        <v>0.66180368072262885</v>
      </c>
      <c r="G280" s="1">
        <f t="shared" ref="G280:K280" si="156">SUM(G281:G285)</f>
        <v>1.8177654553008762</v>
      </c>
      <c r="H280" s="1">
        <f t="shared" si="156"/>
        <v>3.3726673049940681</v>
      </c>
      <c r="I280" s="1">
        <f t="shared" si="156"/>
        <v>3.2890687817467956</v>
      </c>
      <c r="J280" s="1">
        <f t="shared" si="156"/>
        <v>6.3084898588418232</v>
      </c>
      <c r="K280" s="1">
        <f t="shared" si="156"/>
        <v>8.2900600379975451</v>
      </c>
    </row>
    <row r="281" spans="1:11" x14ac:dyDescent="0.35">
      <c r="A281" s="5" t="s">
        <v>5</v>
      </c>
      <c r="B281" s="5" t="str">
        <f t="shared" si="139"/>
        <v>SPS4</v>
      </c>
      <c r="C281" s="5" t="s">
        <v>7</v>
      </c>
      <c r="D281" t="s">
        <v>185</v>
      </c>
      <c r="E281" t="str">
        <f>E187</f>
        <v>PJ/yr.</v>
      </c>
      <c r="F281" s="1">
        <f>'[1]Electricity and CHPs'!B$105-F282</f>
        <v>0.65968931384381047</v>
      </c>
      <c r="G281" s="1">
        <f>'[1]Electricity and CHPs'!C$105-G282</f>
        <v>1.8166905014402606</v>
      </c>
      <c r="H281" s="1">
        <f>'[1]Electricity and CHPs'!D$105-H282</f>
        <v>3.3717301616590234</v>
      </c>
      <c r="I281" s="1">
        <f>'[1]Electricity and CHPs'!E$105-I282</f>
        <v>3.2755717831571438</v>
      </c>
      <c r="J281" s="1">
        <f>'[1]Electricity and CHPs'!F$105-J282</f>
        <v>6.2816565928333938</v>
      </c>
      <c r="K281" s="1">
        <f>'[1]Electricity and CHPs'!G$105-K282</f>
        <v>8.2678649353494897</v>
      </c>
    </row>
    <row r="282" spans="1:11" x14ac:dyDescent="0.35">
      <c r="A282" s="5" t="s">
        <v>5</v>
      </c>
      <c r="B282" s="5" t="str">
        <f t="shared" si="139"/>
        <v>SPS4</v>
      </c>
      <c r="C282" s="5" t="s">
        <v>7</v>
      </c>
      <c r="D282" t="s">
        <v>186</v>
      </c>
      <c r="E282" t="str">
        <f>E188</f>
        <v>PJ/yr.</v>
      </c>
      <c r="F282" s="1" cm="1">
        <f t="array" ref="F282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2" s="1" cm="1">
        <f t="array" ref="G282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2" s="1" cm="1">
        <f t="array" ref="H282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2" s="1" cm="1">
        <f t="array" ref="I282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2" s="1" cm="1">
        <f t="array" ref="J282">SUMPRODUCT((ISNUMBER(SEARCH("itot*CHPWOD*ccs",[1]OUT_Electricity_CHP!$B$1:$B$10000)))*1,([1]OUT_Electricity_CHP!$C$1:$C$10000="Var_Fout")*1,([1]OUT_Electricity_CHP!$D$1:$D$10000="ITOT_LTH_CHP")*1,[1]OUT_Electricity_CHP!I$1:I$10000)</f>
        <v>0</v>
      </c>
      <c r="K282" s="1" cm="1">
        <f t="array" ref="K282">SUMPRODUCT((ISNUMBER(SEARCH("itot*CHPWOD*ccs",[1]OUT_Electricity_CHP!$B$1:$B$10000)))*1,([1]OUT_Electricity_CHP!$C$1:$C$10000="Var_Fout")*1,([1]OUT_Electricity_CHP!$D$1:$D$10000="ITOT_LTH_CHP")*1,[1]OUT_Electricity_CHP!J$1:J$10000)</f>
        <v>0</v>
      </c>
    </row>
    <row r="283" spans="1:11" x14ac:dyDescent="0.35">
      <c r="A283" s="5" t="s">
        <v>5</v>
      </c>
      <c r="B283" s="5" t="str">
        <f t="shared" si="139"/>
        <v>SPS4</v>
      </c>
      <c r="C283" s="5" t="s">
        <v>7</v>
      </c>
      <c r="D283" t="s">
        <v>187</v>
      </c>
      <c r="E283" t="str">
        <f>E210</f>
        <v>PJ/yr.</v>
      </c>
      <c r="F283" s="1">
        <f>'[1]Electricity and CHPs'!B$110</f>
        <v>1.0437898746063099E-3</v>
      </c>
      <c r="G283" s="1">
        <f>'[1]Electricity and CHPs'!C$110</f>
        <v>5.3738323770554427E-4</v>
      </c>
      <c r="H283" s="1">
        <f>'[1]Electricity and CHPs'!D$110</f>
        <v>4.5873805338775948E-4</v>
      </c>
      <c r="I283" s="1">
        <f>'[1]Electricity and CHPs'!E$110</f>
        <v>4.4933694575082584E-3</v>
      </c>
      <c r="J283" s="1">
        <f>'[1]Electricity and CHPs'!F$110</f>
        <v>1.0000982806783663E-2</v>
      </c>
      <c r="K283" s="1">
        <f>'[1]Electricity and CHPs'!G$110</f>
        <v>8.6665313309734447E-3</v>
      </c>
    </row>
    <row r="284" spans="1:11" x14ac:dyDescent="0.35">
      <c r="A284" s="5" t="s">
        <v>5</v>
      </c>
      <c r="B284" s="5" t="str">
        <f t="shared" si="139"/>
        <v>SPS4</v>
      </c>
      <c r="C284" s="5" t="s">
        <v>7</v>
      </c>
      <c r="D284" t="s">
        <v>188</v>
      </c>
      <c r="E284" t="str">
        <f>E214</f>
        <v>PJ/yr.</v>
      </c>
      <c r="F284" s="1">
        <f>'[1]Electricity and CHPs'!B$113</f>
        <v>1.0705770042121312E-3</v>
      </c>
      <c r="G284" s="1">
        <f>'[1]Electricity and CHPs'!C$113</f>
        <v>5.375706229101085E-4</v>
      </c>
      <c r="H284" s="1">
        <f>'[1]Electricity and CHPs'!D$113</f>
        <v>4.7840528165674068E-4</v>
      </c>
      <c r="I284" s="1">
        <f>'[1]Electricity and CHPs'!E$113</f>
        <v>7.6678201386571297E-3</v>
      </c>
      <c r="J284" s="1">
        <f>'[1]Electricity and CHPs'!F$113</f>
        <v>1.5342569604768558E-2</v>
      </c>
      <c r="K284" s="1">
        <f>'[1]Electricity and CHPs'!G$113</f>
        <v>1.3005352575900953E-2</v>
      </c>
    </row>
    <row r="285" spans="1:11" x14ac:dyDescent="0.35">
      <c r="A285" s="5" t="s">
        <v>5</v>
      </c>
      <c r="B285" s="5" t="str">
        <f t="shared" si="139"/>
        <v>SPS4</v>
      </c>
      <c r="C285" s="5" t="s">
        <v>7</v>
      </c>
      <c r="D285" t="s">
        <v>235</v>
      </c>
      <c r="E285" t="str">
        <f>E239</f>
        <v>PJ/yr.</v>
      </c>
      <c r="F285" s="1">
        <f>'[1]Electricity and CHPs'!B$117</f>
        <v>0</v>
      </c>
      <c r="G285" s="1">
        <f>'[1]Electricity and CHPs'!C$117</f>
        <v>0</v>
      </c>
      <c r="H285" s="1">
        <f>'[1]Electricity and CHPs'!D$117</f>
        <v>0</v>
      </c>
      <c r="I285" s="1">
        <f>'[1]Electricity and CHPs'!E$117</f>
        <v>1.3358089934865324E-3</v>
      </c>
      <c r="J285" s="1">
        <f>'[1]Electricity and CHPs'!F$117</f>
        <v>1.4897135968780289E-3</v>
      </c>
      <c r="K285" s="1">
        <f>'[1]Electricity and CHPs'!G$117</f>
        <v>5.2321874118104123E-4</v>
      </c>
    </row>
    <row r="286" spans="1:11" x14ac:dyDescent="0.35">
      <c r="A286" s="5" t="s">
        <v>5</v>
      </c>
      <c r="B286" s="5" t="str">
        <f t="shared" si="139"/>
        <v>SPS4</v>
      </c>
      <c r="C286" s="5" t="s">
        <v>7</v>
      </c>
      <c r="D286" t="s">
        <v>845</v>
      </c>
      <c r="E286" t="str">
        <f>E193</f>
        <v>PJ/yr.</v>
      </c>
      <c r="F286" s="1">
        <f>SUM(F287:F288)</f>
        <v>0</v>
      </c>
      <c r="G286" s="1">
        <f t="shared" ref="G286:K286" si="157">SUM(G287:G288)</f>
        <v>0</v>
      </c>
      <c r="H286" s="1">
        <f t="shared" si="157"/>
        <v>0</v>
      </c>
      <c r="I286" s="1">
        <f t="shared" si="157"/>
        <v>0</v>
      </c>
      <c r="J286" s="1">
        <f t="shared" si="157"/>
        <v>0</v>
      </c>
      <c r="K286" s="1">
        <f t="shared" si="157"/>
        <v>0</v>
      </c>
    </row>
    <row r="287" spans="1:11" x14ac:dyDescent="0.35">
      <c r="A287" s="5" t="s">
        <v>5</v>
      </c>
      <c r="B287" s="5" t="str">
        <f t="shared" si="139"/>
        <v>SPS4</v>
      </c>
      <c r="C287" s="5" t="s">
        <v>7</v>
      </c>
      <c r="D287" t="s">
        <v>189</v>
      </c>
      <c r="E287" t="str">
        <f>E194</f>
        <v>PJ/yr.</v>
      </c>
      <c r="F287" s="1">
        <f>'[1]Electricity and CHPs'!B$108</f>
        <v>0</v>
      </c>
      <c r="G287" s="1">
        <f>'[1]Electricity and CHPs'!C$108</f>
        <v>0</v>
      </c>
      <c r="H287" s="1">
        <f>'[1]Electricity and CHPs'!D$108</f>
        <v>0</v>
      </c>
      <c r="I287" s="1">
        <f>'[1]Electricity and CHPs'!E$108</f>
        <v>0</v>
      </c>
      <c r="J287" s="1">
        <f>'[1]Electricity and CHPs'!F$108</f>
        <v>0</v>
      </c>
      <c r="K287" s="1">
        <f>'[1]Electricity and CHPs'!G$108</f>
        <v>0</v>
      </c>
    </row>
    <row r="288" spans="1:11" x14ac:dyDescent="0.35">
      <c r="A288" s="5" t="s">
        <v>5</v>
      </c>
      <c r="B288" s="5" t="str">
        <f t="shared" si="139"/>
        <v>SPS4</v>
      </c>
      <c r="C288" s="5" t="s">
        <v>7</v>
      </c>
      <c r="D288" t="s">
        <v>236</v>
      </c>
      <c r="E288" t="str">
        <f>E241</f>
        <v>PJ/yr.</v>
      </c>
      <c r="F288" s="1">
        <f>'[1]Electricity and CHPs'!B$119</f>
        <v>0</v>
      </c>
      <c r="G288" s="1">
        <f>'[1]Electricity and CHPs'!C$119</f>
        <v>0</v>
      </c>
      <c r="H288" s="1">
        <f>'[1]Electricity and CHPs'!D$119</f>
        <v>0</v>
      </c>
      <c r="I288" s="1">
        <f>'[1]Electricity and CHPs'!E$119</f>
        <v>0</v>
      </c>
      <c r="J288" s="1">
        <f>'[1]Electricity and CHPs'!F$119</f>
        <v>0</v>
      </c>
      <c r="K288" s="1">
        <f>'[1]Electricity and CHPs'!G$119</f>
        <v>0</v>
      </c>
    </row>
    <row r="289" spans="1:13" x14ac:dyDescent="0.35">
      <c r="A289" s="5" t="s">
        <v>5</v>
      </c>
      <c r="B289" s="9" t="str">
        <f t="shared" si="139"/>
        <v>SPS4</v>
      </c>
      <c r="C289" s="9" t="s">
        <v>7</v>
      </c>
      <c r="D289" s="2" t="s">
        <v>91</v>
      </c>
      <c r="E289" s="2" t="str">
        <f>E287</f>
        <v>PJ/yr.</v>
      </c>
      <c r="F289" s="3">
        <f>SUM(F290,F292,F296,F308,F356,F377,F385,F387,F395,F399,F393)</f>
        <v>437.69797627175899</v>
      </c>
      <c r="G289" s="3">
        <f t="shared" ref="G289" si="158">SUM(G290,G292,G300,G308,G356,G377,G385,G387,G395,G399,G393)</f>
        <v>419.71142451571131</v>
      </c>
      <c r="H289" s="3">
        <f t="shared" ref="H289" si="159">SUM(H290,H292,H300,H308,H356,H377,H385,H387,H395,H399,H393)</f>
        <v>440.92578555664323</v>
      </c>
      <c r="I289" s="3">
        <f t="shared" ref="I289" si="160">SUM(I290,I292,I300,I308,I356,I377,I385,I387,I395,I399,I393)</f>
        <v>425.11342699617182</v>
      </c>
      <c r="J289" s="3">
        <f t="shared" ref="J289" si="161">SUM(J290,J292,J300,J308,J356,J377,J385,J387,J395,J399,J393)</f>
        <v>336.48977420013392</v>
      </c>
      <c r="K289" s="3">
        <f t="shared" ref="K289" si="162">SUM(K290,K292,K300,K308,K356,K377,K385,K387,K395,K399,K393)</f>
        <v>279.73343214312325</v>
      </c>
    </row>
    <row r="290" spans="1:13" x14ac:dyDescent="0.35">
      <c r="A290" s="5" t="s">
        <v>5</v>
      </c>
      <c r="B290" s="5" t="str">
        <f t="shared" si="139"/>
        <v>SPS4</v>
      </c>
      <c r="C290" s="5" t="s">
        <v>7</v>
      </c>
      <c r="D290" t="s">
        <v>846</v>
      </c>
      <c r="E290" t="str">
        <f>E288</f>
        <v>PJ/yr.</v>
      </c>
      <c r="F290" s="1">
        <f>F291</f>
        <v>250.94820662263976</v>
      </c>
      <c r="G290" s="1">
        <f t="shared" ref="G290:K290" si="163">G291</f>
        <v>253.29997126607847</v>
      </c>
      <c r="H290" s="1">
        <f t="shared" si="163"/>
        <v>206.08389501720902</v>
      </c>
      <c r="I290" s="1">
        <f t="shared" si="163"/>
        <v>211.89116348138847</v>
      </c>
      <c r="J290" s="1">
        <f t="shared" si="163"/>
        <v>98.945536106252703</v>
      </c>
      <c r="K290" s="1">
        <f t="shared" si="163"/>
        <v>0</v>
      </c>
    </row>
    <row r="291" spans="1:13" x14ac:dyDescent="0.35">
      <c r="A291" s="5" t="s">
        <v>5</v>
      </c>
      <c r="B291" s="5" t="str">
        <f t="shared" si="139"/>
        <v>SPS4</v>
      </c>
      <c r="C291" s="5" t="s">
        <v>7</v>
      </c>
      <c r="D291" t="s">
        <v>92</v>
      </c>
      <c r="E291" t="str">
        <f>E290</f>
        <v>PJ/yr.</v>
      </c>
      <c r="F291" s="1">
        <f>'[1]Electricity and CHPs_IN'!B$14</f>
        <v>250.94820662263976</v>
      </c>
      <c r="G291" s="1">
        <f>'[1]Electricity and CHPs_IN'!C$14</f>
        <v>253.29997126607847</v>
      </c>
      <c r="H291" s="1">
        <f>'[1]Electricity and CHPs_IN'!D$14</f>
        <v>206.08389501720902</v>
      </c>
      <c r="I291" s="1">
        <f>'[1]Electricity and CHPs_IN'!E$14</f>
        <v>211.89116348138847</v>
      </c>
      <c r="J291" s="1">
        <f>'[1]Electricity and CHPs_IN'!F$14</f>
        <v>98.945536106252703</v>
      </c>
      <c r="K291" s="1">
        <f>'[1]Electricity and CHPs_IN'!G$14</f>
        <v>0</v>
      </c>
    </row>
    <row r="292" spans="1:13" x14ac:dyDescent="0.35">
      <c r="A292" s="5" t="s">
        <v>5</v>
      </c>
      <c r="B292" s="5" t="str">
        <f t="shared" si="139"/>
        <v>SPS4</v>
      </c>
      <c r="C292" s="5" t="s">
        <v>7</v>
      </c>
      <c r="D292" t="s">
        <v>847</v>
      </c>
      <c r="E292" t="str">
        <f t="shared" ref="E292:E355" si="164">E291</f>
        <v>PJ/yr.</v>
      </c>
      <c r="F292" s="1">
        <f>SUM(F293:F295)</f>
        <v>149.43048676779389</v>
      </c>
      <c r="G292" s="1">
        <f t="shared" ref="G292:K292" si="165">SUM(G293:G295)</f>
        <v>125.60594559963398</v>
      </c>
      <c r="H292" s="1">
        <f t="shared" si="165"/>
        <v>177.65239935932033</v>
      </c>
      <c r="I292" s="1">
        <f t="shared" si="165"/>
        <v>150.46034272154878</v>
      </c>
      <c r="J292" s="1">
        <f t="shared" si="165"/>
        <v>150.73420772528254</v>
      </c>
      <c r="K292" s="1">
        <f t="shared" si="165"/>
        <v>150.96379181695721</v>
      </c>
    </row>
    <row r="293" spans="1:13" x14ac:dyDescent="0.35">
      <c r="A293" s="5" t="s">
        <v>5</v>
      </c>
      <c r="B293" s="5" t="str">
        <f t="shared" si="139"/>
        <v>SPS4</v>
      </c>
      <c r="C293" s="5" t="s">
        <v>7</v>
      </c>
      <c r="D293" t="s">
        <v>93</v>
      </c>
      <c r="E293" t="str">
        <f t="shared" si="164"/>
        <v>PJ/yr.</v>
      </c>
      <c r="F293" s="1">
        <f>'[1]Electricity and CHPs_IN'!B$15</f>
        <v>66.745680000010836</v>
      </c>
      <c r="G293" s="1">
        <f>'[1]Electricity and CHPs_IN'!C$15</f>
        <v>49.798802112454716</v>
      </c>
      <c r="H293" s="1">
        <f>'[1]Electricity and CHPs_IN'!D$15</f>
        <v>68.534387711104714</v>
      </c>
      <c r="I293" s="1">
        <f>'[1]Electricity and CHPs_IN'!E$15</f>
        <v>70.34291557821463</v>
      </c>
      <c r="J293" s="1">
        <f>'[1]Electricity and CHPs_IN'!F$15</f>
        <v>72.511307323161802</v>
      </c>
      <c r="K293" s="1">
        <f>'[1]Electricity and CHPs_IN'!G$15</f>
        <v>74.680995636390534</v>
      </c>
    </row>
    <row r="294" spans="1:13" x14ac:dyDescent="0.35">
      <c r="A294" s="5" t="s">
        <v>5</v>
      </c>
      <c r="B294" s="5" t="str">
        <f t="shared" si="139"/>
        <v>SPS4</v>
      </c>
      <c r="C294" s="5" t="s">
        <v>7</v>
      </c>
      <c r="D294" t="s">
        <v>94</v>
      </c>
      <c r="E294" t="str">
        <f t="shared" si="164"/>
        <v>PJ/yr.</v>
      </c>
      <c r="F294" s="1">
        <f>'[1]Electricity and CHPs_IN'!B$16</f>
        <v>66.63240058493669</v>
      </c>
      <c r="G294" s="1">
        <f>'[1]Electricity and CHPs_IN'!C$16</f>
        <v>55.764004617408034</v>
      </c>
      <c r="H294" s="1">
        <f>'[1]Electricity and CHPs_IN'!D$16</f>
        <v>65.55096200066761</v>
      </c>
      <c r="I294" s="1">
        <f>'[1]Electricity and CHPs_IN'!E$16</f>
        <v>64.468038140082029</v>
      </c>
      <c r="J294" s="1">
        <f>'[1]Electricity and CHPs_IN'!F$16</f>
        <v>62.299668571129772</v>
      </c>
      <c r="K294" s="1">
        <f>'[1]Electricity and CHPs_IN'!G$16</f>
        <v>60.129976775260509</v>
      </c>
    </row>
    <row r="295" spans="1:13" x14ac:dyDescent="0.35">
      <c r="A295" s="5" t="s">
        <v>5</v>
      </c>
      <c r="B295" s="5" t="str">
        <f t="shared" si="139"/>
        <v>SPS4</v>
      </c>
      <c r="C295" s="5" t="s">
        <v>7</v>
      </c>
      <c r="D295" t="s">
        <v>95</v>
      </c>
      <c r="E295" t="str">
        <f t="shared" si="164"/>
        <v>PJ/yr.</v>
      </c>
      <c r="F295" s="1">
        <f>'[1]Electricity and CHPs_IN'!B$13</f>
        <v>16.052406182846379</v>
      </c>
      <c r="G295" s="1">
        <f>'[1]Electricity and CHPs_IN'!C$13</f>
        <v>20.04313886977123</v>
      </c>
      <c r="H295" s="1">
        <f>'[1]Electricity and CHPs_IN'!D$13</f>
        <v>43.567049647548004</v>
      </c>
      <c r="I295" s="1">
        <f>'[1]Electricity and CHPs_IN'!E$13</f>
        <v>15.64938900325212</v>
      </c>
      <c r="J295" s="1">
        <f>'[1]Electricity and CHPs_IN'!F$13</f>
        <v>15.923231830990986</v>
      </c>
      <c r="K295" s="1">
        <f>'[1]Electricity and CHPs_IN'!G$13</f>
        <v>16.152819405306158</v>
      </c>
    </row>
    <row r="296" spans="1:13" x14ac:dyDescent="0.35">
      <c r="A296" s="5" t="s">
        <v>5</v>
      </c>
      <c r="B296" s="5" t="str">
        <f t="shared" si="139"/>
        <v>SPS4</v>
      </c>
      <c r="C296" s="5" t="s">
        <v>7</v>
      </c>
      <c r="D296" t="s">
        <v>848</v>
      </c>
      <c r="E296" t="str">
        <f t="shared" si="164"/>
        <v>PJ/yr.</v>
      </c>
      <c r="F296" s="1">
        <f>SUM(F297:F299)</f>
        <v>0.14446876137177034</v>
      </c>
      <c r="G296" s="1">
        <f t="shared" ref="G296:K296" si="166">SUM(G297:G299)</f>
        <v>5.4000122350987972E-2</v>
      </c>
      <c r="H296" s="1">
        <f t="shared" si="166"/>
        <v>1.2964689228227031E-2</v>
      </c>
      <c r="I296" s="1">
        <f t="shared" si="166"/>
        <v>7.6756747798137084E-2</v>
      </c>
      <c r="J296" s="1">
        <f t="shared" si="166"/>
        <v>2.8171706825333882E-2</v>
      </c>
      <c r="K296" s="1">
        <f t="shared" si="166"/>
        <v>0.20876772905617011</v>
      </c>
    </row>
    <row r="297" spans="1:13" x14ac:dyDescent="0.35">
      <c r="A297" s="5" t="s">
        <v>5</v>
      </c>
      <c r="B297" s="5" t="str">
        <f t="shared" si="139"/>
        <v>SPS4</v>
      </c>
      <c r="C297" s="5" t="s">
        <v>7</v>
      </c>
      <c r="D297" t="s">
        <v>96</v>
      </c>
      <c r="E297" t="str">
        <f t="shared" si="164"/>
        <v>PJ/yr.</v>
      </c>
      <c r="F297" s="1">
        <f>'[1]Electricity and CHPs_IN'!B$18</f>
        <v>0.12005939338268476</v>
      </c>
      <c r="G297" s="1">
        <f>'[1]Electricity and CHPs_IN'!C$18</f>
        <v>7.2332412059240674E-4</v>
      </c>
      <c r="H297" s="1">
        <f>'[1]Electricity and CHPs_IN'!D$18</f>
        <v>1.0303827784797766E-2</v>
      </c>
      <c r="I297" s="1">
        <f>'[1]Electricity and CHPs_IN'!E$18</f>
        <v>1.758009008572451E-3</v>
      </c>
      <c r="J297" s="1">
        <f>'[1]Electricity and CHPs_IN'!F$18</f>
        <v>4.8900841178543429E-3</v>
      </c>
      <c r="K297" s="1">
        <f>'[1]Electricity and CHPs_IN'!G$18</f>
        <v>6.145210840095134E-3</v>
      </c>
    </row>
    <row r="298" spans="1:13" x14ac:dyDescent="0.35">
      <c r="A298" s="5" t="s">
        <v>5</v>
      </c>
      <c r="B298" s="5" t="str">
        <f t="shared" si="139"/>
        <v>SPS4</v>
      </c>
      <c r="C298" s="5" t="s">
        <v>7</v>
      </c>
      <c r="D298" t="s">
        <v>230</v>
      </c>
      <c r="E298" t="str">
        <f t="shared" si="164"/>
        <v>PJ/yr.</v>
      </c>
      <c r="F298" s="1">
        <f>IFERROR(F70/SUM(F70,F183),0)*'[1]Electricity and CHPs_IN'!B$28</f>
        <v>3.5563090054315173E-3</v>
      </c>
      <c r="G298" s="1">
        <f>IFERROR(G70/SUM(G70,G183),0)*'[1]Electricity and CHPs_IN'!C$28</f>
        <v>1.7730098883732314E-4</v>
      </c>
      <c r="H298" s="1">
        <f>IFERROR(H70/SUM(H70,H183),0)*'[1]Electricity and CHPs_IN'!D$28</f>
        <v>1.5721818534923696E-3</v>
      </c>
      <c r="I298" s="1">
        <f>IFERROR(I70/SUM(I70,I183),0)*'[1]Electricity and CHPs_IN'!E$28</f>
        <v>4.4853618730352179E-4</v>
      </c>
      <c r="J298" s="1">
        <f>IFERROR(J70/SUM(J70,J183),0)*'[1]Electricity and CHPs_IN'!F$28</f>
        <v>8.4087499815804182E-4</v>
      </c>
      <c r="K298" s="1">
        <f>IFERROR(K70/SUM(K70,K183),0)*'[1]Electricity and CHPs_IN'!G$28</f>
        <v>5.0361019324514518E-4</v>
      </c>
      <c r="M298" s="1"/>
    </row>
    <row r="299" spans="1:13" x14ac:dyDescent="0.35">
      <c r="A299" s="5" t="s">
        <v>5</v>
      </c>
      <c r="B299" s="5" t="str">
        <f t="shared" si="139"/>
        <v>SPS4</v>
      </c>
      <c r="C299" s="5" t="s">
        <v>7</v>
      </c>
      <c r="D299" t="s">
        <v>97</v>
      </c>
      <c r="E299" t="str">
        <f t="shared" si="164"/>
        <v>PJ/yr.</v>
      </c>
      <c r="F299" s="1">
        <f>IFERROR(F71/SUM(F71,F233),0)*'[1]Electricity and CHPs_IN'!B$41</f>
        <v>2.0853058983654058E-2</v>
      </c>
      <c r="G299" s="1">
        <f>IFERROR(G71/SUM(G71,G233),0)*'[1]Electricity and CHPs_IN'!C$41</f>
        <v>5.3099497241558241E-2</v>
      </c>
      <c r="H299" s="1">
        <f>IFERROR(H71/SUM(H71,H233),0)*'[1]Electricity and CHPs_IN'!D$41</f>
        <v>1.0886795899368955E-3</v>
      </c>
      <c r="I299" s="1">
        <f>IFERROR(I71/SUM(I71,I233),0)*'[1]Electricity and CHPs_IN'!E$41</f>
        <v>7.4550202602261112E-2</v>
      </c>
      <c r="J299" s="1">
        <f>IFERROR(J71/SUM(J71,J233),0)*'[1]Electricity and CHPs_IN'!F$41</f>
        <v>2.2440747709321498E-2</v>
      </c>
      <c r="K299" s="1">
        <f>IFERROR(K71/SUM(K71,K233),0)*'[1]Electricity and CHPs_IN'!G$41</f>
        <v>0.20211890802282984</v>
      </c>
    </row>
    <row r="300" spans="1:13" x14ac:dyDescent="0.35">
      <c r="A300" s="5" t="s">
        <v>5</v>
      </c>
      <c r="B300" s="5" t="str">
        <f t="shared" si="139"/>
        <v>SPS4</v>
      </c>
      <c r="C300" s="5" t="s">
        <v>7</v>
      </c>
      <c r="D300" t="s">
        <v>849</v>
      </c>
      <c r="E300" t="str">
        <f t="shared" si="164"/>
        <v>PJ/yr.</v>
      </c>
      <c r="F300" s="1">
        <f>F296</f>
        <v>0.14446876137177034</v>
      </c>
      <c r="G300" s="1">
        <f t="shared" ref="G300:K300" si="167">G296</f>
        <v>5.4000122350987972E-2</v>
      </c>
      <c r="H300" s="1">
        <f t="shared" si="167"/>
        <v>1.2964689228227031E-2</v>
      </c>
      <c r="I300" s="1">
        <f t="shared" si="167"/>
        <v>7.6756747798137084E-2</v>
      </c>
      <c r="J300" s="1">
        <f t="shared" si="167"/>
        <v>2.8171706825333882E-2</v>
      </c>
      <c r="K300" s="1">
        <f t="shared" si="167"/>
        <v>0.20876772905617011</v>
      </c>
    </row>
    <row r="301" spans="1:13" x14ac:dyDescent="0.35">
      <c r="A301" s="5" t="s">
        <v>5</v>
      </c>
      <c r="B301" s="5" t="str">
        <f t="shared" si="139"/>
        <v>SPS4</v>
      </c>
      <c r="C301" s="5" t="s">
        <v>7</v>
      </c>
      <c r="D301" t="s">
        <v>520</v>
      </c>
      <c r="E301" t="str">
        <f t="shared" si="164"/>
        <v>PJ/yr.</v>
      </c>
      <c r="F301" s="1">
        <f t="shared" ref="F301:K301" si="168">F297</f>
        <v>0.12005939338268476</v>
      </c>
      <c r="G301" s="1">
        <f t="shared" si="168"/>
        <v>7.2332412059240674E-4</v>
      </c>
      <c r="H301" s="1">
        <f t="shared" si="168"/>
        <v>1.0303827784797766E-2</v>
      </c>
      <c r="I301" s="1">
        <f t="shared" si="168"/>
        <v>1.758009008572451E-3</v>
      </c>
      <c r="J301" s="1">
        <f t="shared" si="168"/>
        <v>4.8900841178543429E-3</v>
      </c>
      <c r="K301" s="1">
        <f t="shared" si="168"/>
        <v>6.145210840095134E-3</v>
      </c>
    </row>
    <row r="302" spans="1:13" x14ac:dyDescent="0.35">
      <c r="A302" s="5" t="s">
        <v>5</v>
      </c>
      <c r="B302" s="5" t="str">
        <f t="shared" si="139"/>
        <v>SPS4</v>
      </c>
      <c r="C302" s="5" t="s">
        <v>7</v>
      </c>
      <c r="D302" t="s">
        <v>521</v>
      </c>
      <c r="E302" t="str">
        <f t="shared" si="164"/>
        <v>PJ/yr.</v>
      </c>
      <c r="F302" s="1">
        <f t="shared" ref="F302:K302" si="169">F298</f>
        <v>3.5563090054315173E-3</v>
      </c>
      <c r="G302" s="1">
        <f t="shared" si="169"/>
        <v>1.7730098883732314E-4</v>
      </c>
      <c r="H302" s="1">
        <f t="shared" si="169"/>
        <v>1.5721818534923696E-3</v>
      </c>
      <c r="I302" s="1">
        <f t="shared" si="169"/>
        <v>4.4853618730352179E-4</v>
      </c>
      <c r="J302" s="1">
        <f t="shared" si="169"/>
        <v>8.4087499815804182E-4</v>
      </c>
      <c r="K302" s="1">
        <f t="shared" si="169"/>
        <v>5.0361019324514518E-4</v>
      </c>
    </row>
    <row r="303" spans="1:13" x14ac:dyDescent="0.35">
      <c r="A303" s="5" t="s">
        <v>5</v>
      </c>
      <c r="B303" s="5" t="str">
        <f t="shared" si="139"/>
        <v>SPS4</v>
      </c>
      <c r="C303" s="5" t="s">
        <v>7</v>
      </c>
      <c r="D303" t="s">
        <v>522</v>
      </c>
      <c r="E303" t="str">
        <f t="shared" si="164"/>
        <v>PJ/yr.</v>
      </c>
      <c r="F303" s="1">
        <f t="shared" ref="F303:K303" si="170">F299</f>
        <v>2.0853058983654058E-2</v>
      </c>
      <c r="G303" s="1">
        <f t="shared" si="170"/>
        <v>5.3099497241558241E-2</v>
      </c>
      <c r="H303" s="1">
        <f t="shared" si="170"/>
        <v>1.0886795899368955E-3</v>
      </c>
      <c r="I303" s="1">
        <f t="shared" si="170"/>
        <v>7.4550202602261112E-2</v>
      </c>
      <c r="J303" s="1">
        <f t="shared" si="170"/>
        <v>2.2440747709321498E-2</v>
      </c>
      <c r="K303" s="1">
        <f t="shared" si="170"/>
        <v>0.20211890802282984</v>
      </c>
    </row>
    <row r="304" spans="1:13" x14ac:dyDescent="0.35">
      <c r="A304" s="5" t="s">
        <v>5</v>
      </c>
      <c r="B304" s="5" t="str">
        <f t="shared" si="139"/>
        <v>SPS4</v>
      </c>
      <c r="C304" s="5" t="s">
        <v>7</v>
      </c>
      <c r="D304" t="s">
        <v>850</v>
      </c>
      <c r="E304" t="str">
        <f t="shared" si="164"/>
        <v>PJ/yr.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</row>
    <row r="305" spans="1:11" x14ac:dyDescent="0.35">
      <c r="A305" s="5" t="s">
        <v>5</v>
      </c>
      <c r="B305" s="5" t="str">
        <f t="shared" si="139"/>
        <v>SPS4</v>
      </c>
      <c r="C305" s="5" t="s">
        <v>7</v>
      </c>
      <c r="D305" t="s">
        <v>544</v>
      </c>
      <c r="E305" t="str">
        <f t="shared" si="164"/>
        <v>PJ/yr.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</row>
    <row r="306" spans="1:11" x14ac:dyDescent="0.35">
      <c r="A306" s="5" t="s">
        <v>5</v>
      </c>
      <c r="B306" s="5" t="str">
        <f t="shared" si="139"/>
        <v>SPS4</v>
      </c>
      <c r="C306" s="5" t="s">
        <v>7</v>
      </c>
      <c r="D306" t="s">
        <v>545</v>
      </c>
      <c r="E306" t="str">
        <f t="shared" si="164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</row>
    <row r="307" spans="1:11" x14ac:dyDescent="0.35">
      <c r="A307" s="5" t="s">
        <v>5</v>
      </c>
      <c r="B307" s="5" t="str">
        <f t="shared" si="139"/>
        <v>SPS4</v>
      </c>
      <c r="C307" s="5" t="s">
        <v>7</v>
      </c>
      <c r="D307" t="s">
        <v>546</v>
      </c>
      <c r="E307" t="str">
        <f t="shared" si="164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</row>
    <row r="308" spans="1:11" x14ac:dyDescent="0.35">
      <c r="A308" s="5" t="s">
        <v>5</v>
      </c>
      <c r="B308" s="5" t="str">
        <f t="shared" ref="B308:B371" si="171">B307</f>
        <v>SPS4</v>
      </c>
      <c r="C308" s="5" t="s">
        <v>7</v>
      </c>
      <c r="D308" t="s">
        <v>851</v>
      </c>
      <c r="E308" t="str">
        <f t="shared" si="164"/>
        <v>PJ/yr.</v>
      </c>
      <c r="F308" s="1">
        <f>SUM(F309:F323)</f>
        <v>4.0541986541716462</v>
      </c>
      <c r="G308" s="1">
        <f t="shared" ref="G308:K308" si="172">SUM(G309:G323)</f>
        <v>2.1722629625035492</v>
      </c>
      <c r="H308" s="1">
        <f t="shared" si="172"/>
        <v>1.4218542687688138</v>
      </c>
      <c r="I308" s="1">
        <f t="shared" si="172"/>
        <v>2.6834710968844959</v>
      </c>
      <c r="J308" s="1">
        <f t="shared" si="172"/>
        <v>4.0348524608568885</v>
      </c>
      <c r="K308" s="1">
        <f t="shared" si="172"/>
        <v>25.339803013585936</v>
      </c>
    </row>
    <row r="309" spans="1:11" x14ac:dyDescent="0.35">
      <c r="A309" s="5" t="s">
        <v>5</v>
      </c>
      <c r="B309" s="5" t="str">
        <f t="shared" si="171"/>
        <v>SPS4</v>
      </c>
      <c r="C309" s="5" t="s">
        <v>7</v>
      </c>
      <c r="D309" t="s">
        <v>98</v>
      </c>
      <c r="E309" t="str">
        <f t="shared" si="164"/>
        <v>PJ/yr.</v>
      </c>
      <c r="F309" s="1">
        <f>'[1]Electricity and CHPs_IN'!B$21</f>
        <v>0</v>
      </c>
      <c r="G309" s="1">
        <f>'[1]Electricity and CHPs_IN'!C$21</f>
        <v>0</v>
      </c>
      <c r="H309" s="1">
        <f>'[1]Electricity and CHPs_IN'!D$21</f>
        <v>0</v>
      </c>
      <c r="I309" s="1">
        <f>'[1]Electricity and CHPs_IN'!E$21</f>
        <v>0</v>
      </c>
      <c r="J309" s="1">
        <f>'[1]Electricity and CHPs_IN'!F$21</f>
        <v>7.526755578425802E-2</v>
      </c>
      <c r="K309" s="1">
        <f>'[1]Electricity and CHPs_IN'!G$21</f>
        <v>9.3642916758914669</v>
      </c>
    </row>
    <row r="310" spans="1:11" x14ac:dyDescent="0.35">
      <c r="A310" s="5" t="s">
        <v>5</v>
      </c>
      <c r="B310" s="5" t="str">
        <f t="shared" si="171"/>
        <v>SPS4</v>
      </c>
      <c r="C310" s="5" t="s">
        <v>7</v>
      </c>
      <c r="D310" t="s">
        <v>99</v>
      </c>
      <c r="E310" t="str">
        <f t="shared" si="164"/>
        <v>PJ/yr.</v>
      </c>
      <c r="F310" s="1">
        <f>'[1]Electricity and CHPs_IN'!B$22</f>
        <v>0</v>
      </c>
      <c r="G310" s="1">
        <f>'[1]Electricity and CHPs_IN'!C$22</f>
        <v>0</v>
      </c>
      <c r="H310" s="1">
        <f>'[1]Electricity and CHPs_IN'!D$22</f>
        <v>0</v>
      </c>
      <c r="I310" s="1">
        <f>'[1]Electricity and CHPs_IN'!E$22</f>
        <v>0</v>
      </c>
      <c r="J310" s="1">
        <f>'[1]Electricity and CHPs_IN'!F$22</f>
        <v>2.5839681183142223E-2</v>
      </c>
      <c r="K310" s="1">
        <f>'[1]Electricity and CHPs_IN'!G$22</f>
        <v>9.7313630471531701E-3</v>
      </c>
    </row>
    <row r="311" spans="1:11" x14ac:dyDescent="0.35">
      <c r="A311" s="5" t="s">
        <v>5</v>
      </c>
      <c r="B311" s="5" t="str">
        <f t="shared" si="171"/>
        <v>SPS4</v>
      </c>
      <c r="C311" s="5" t="s">
        <v>7</v>
      </c>
      <c r="D311" t="s">
        <v>100</v>
      </c>
      <c r="E311" t="str">
        <f t="shared" si="164"/>
        <v>PJ/yr.</v>
      </c>
      <c r="F311" s="1">
        <f>'[1]Electricity and CHPs_IN'!B$23</f>
        <v>0</v>
      </c>
      <c r="G311" s="1">
        <f>'[1]Electricity and CHPs_IN'!C$23</f>
        <v>0</v>
      </c>
      <c r="H311" s="1">
        <f>'[1]Electricity and CHPs_IN'!D$23</f>
        <v>0</v>
      </c>
      <c r="I311" s="1">
        <f>'[1]Electricity and CHPs_IN'!E$23</f>
        <v>0</v>
      </c>
      <c r="J311" s="1">
        <f>'[1]Electricity and CHPs_IN'!F$23</f>
        <v>1.7084408318878983E-4</v>
      </c>
      <c r="K311" s="1">
        <f>'[1]Electricity and CHPs_IN'!G$23</f>
        <v>1.013808602849611E-4</v>
      </c>
    </row>
    <row r="312" spans="1:11" x14ac:dyDescent="0.35">
      <c r="A312" s="5" t="s">
        <v>5</v>
      </c>
      <c r="B312" s="5" t="str">
        <f t="shared" si="171"/>
        <v>SPS4</v>
      </c>
      <c r="C312" s="5" t="s">
        <v>7</v>
      </c>
      <c r="D312" t="s">
        <v>101</v>
      </c>
      <c r="E312" t="str">
        <f t="shared" si="164"/>
        <v>PJ/yr.</v>
      </c>
      <c r="F312" s="1">
        <f>IFERROR(F84/SUM(F84+F187),0)*'[1]Electricity and CHPs_IN'!B$24</f>
        <v>1.2833669931553338</v>
      </c>
      <c r="G312" s="1">
        <f>IFERROR(G84/SUM(G84+G187),0)*'[1]Electricity and CHPs_IN'!C$24</f>
        <v>7.912439436709804E-4</v>
      </c>
      <c r="H312" s="1">
        <f>IFERROR(H84/SUM(H84+H187),0)*'[1]Electricity and CHPs_IN'!D$24</f>
        <v>3.8339390333284621E-3</v>
      </c>
      <c r="I312" s="1">
        <f>IFERROR(I84/SUM(I84+I187),0)*'[1]Electricity and CHPs_IN'!E$24</f>
        <v>4.0190066992945514E-3</v>
      </c>
      <c r="J312" s="1">
        <f>IFERROR(J84/SUM(J84+J187),0)*'[1]Electricity and CHPs_IN'!F$24</f>
        <v>0.61042697791766531</v>
      </c>
      <c r="K312" s="1">
        <f>IFERROR(K84/SUM(K84+K187),0)*'[1]Electricity and CHPs_IN'!G$24</f>
        <v>1.2147217575723586</v>
      </c>
    </row>
    <row r="313" spans="1:11" x14ac:dyDescent="0.35">
      <c r="A313" s="5" t="s">
        <v>5</v>
      </c>
      <c r="B313" s="5" t="str">
        <f t="shared" si="171"/>
        <v>SPS4</v>
      </c>
      <c r="C313" s="5" t="s">
        <v>7</v>
      </c>
      <c r="D313" t="s">
        <v>102</v>
      </c>
      <c r="E313" t="str">
        <f t="shared" si="164"/>
        <v>PJ/yr.</v>
      </c>
      <c r="F313" s="1">
        <f>IFERROR(F85/SUM(F85+F188),0)*'[1]Electricity and CHPs_IN'!B$29</f>
        <v>0</v>
      </c>
      <c r="G313" s="1">
        <f>IFERROR(G85/SUM(G85+G188),0)*'[1]Electricity and CHPs_IN'!C$29</f>
        <v>0</v>
      </c>
      <c r="H313" s="1">
        <f>IFERROR(H85/SUM(H85+H188),0)*'[1]Electricity and CHPs_IN'!D$29</f>
        <v>0</v>
      </c>
      <c r="I313" s="1">
        <f>IFERROR(I85/SUM(I85+I188),0)*'[1]Electricity and CHPs_IN'!E$29</f>
        <v>0</v>
      </c>
      <c r="J313" s="1">
        <f>IFERROR(J85/SUM(J85+J188),0)*'[1]Electricity and CHPs_IN'!F$29</f>
        <v>0.4567516638915689</v>
      </c>
      <c r="K313" s="1">
        <f>IFERROR(K85/SUM(K85+K188),0)*'[1]Electricity and CHPs_IN'!G$29</f>
        <v>2.2622269299972739</v>
      </c>
    </row>
    <row r="314" spans="1:11" x14ac:dyDescent="0.35">
      <c r="A314" s="5" t="s">
        <v>5</v>
      </c>
      <c r="B314" s="5" t="str">
        <f t="shared" si="171"/>
        <v>SPS4</v>
      </c>
      <c r="C314" s="5" t="s">
        <v>7</v>
      </c>
      <c r="D314" t="s">
        <v>103</v>
      </c>
      <c r="E314" t="str">
        <f t="shared" si="164"/>
        <v>PJ/yr.</v>
      </c>
      <c r="F314" s="1">
        <f>F86/SUM(F86,F239)*'[1]Electricity and CHPs_IN'!B$39</f>
        <v>0.89331717968099089</v>
      </c>
      <c r="G314" s="1">
        <f>G86/SUM(G86,G239)*'[1]Electricity and CHPs_IN'!C$39</f>
        <v>0.12053589356179353</v>
      </c>
      <c r="H314" s="1">
        <f>H86/SUM(H86,H239)*'[1]Electricity and CHPs_IN'!D$39</f>
        <v>8.6303232964095464E-2</v>
      </c>
      <c r="I314" s="1">
        <f>I86/SUM(I86,I239)*'[1]Electricity and CHPs_IN'!E$39</f>
        <v>0.55317152262756464</v>
      </c>
      <c r="J314" s="1">
        <f>J86/SUM(J86,J239)*'[1]Electricity and CHPs_IN'!F$39</f>
        <v>7.7867292039998467E-2</v>
      </c>
      <c r="K314" s="1">
        <f>K86/SUM(K86,K239)*'[1]Electricity and CHPs_IN'!G$39</f>
        <v>1.7101694803071138E-2</v>
      </c>
    </row>
    <row r="315" spans="1:11" x14ac:dyDescent="0.35">
      <c r="A315" s="5" t="s">
        <v>5</v>
      </c>
      <c r="B315" s="5" t="str">
        <f t="shared" si="171"/>
        <v>SPS4</v>
      </c>
      <c r="C315" s="5" t="s">
        <v>7</v>
      </c>
      <c r="D315" t="s">
        <v>104</v>
      </c>
      <c r="E315" t="str">
        <f t="shared" si="164"/>
        <v>PJ/yr.</v>
      </c>
      <c r="F315" s="1">
        <f>IFERROR(F87/SUM(F87,F240),0)*'[1]Electricity and CHPs_IN'!B$40</f>
        <v>0</v>
      </c>
      <c r="G315" s="1">
        <f>IFERROR(G87/SUM(G87,G240),0)*'[1]Electricity and CHPs_IN'!C$40</f>
        <v>0</v>
      </c>
      <c r="H315" s="1">
        <f>IFERROR(H87/SUM(H87,H240),0)*'[1]Electricity and CHPs_IN'!D$40</f>
        <v>0</v>
      </c>
      <c r="I315" s="1">
        <f>IFERROR(I87/SUM(I87,I240),0)*'[1]Electricity and CHPs_IN'!E$40</f>
        <v>0</v>
      </c>
      <c r="J315" s="1">
        <f>IFERROR(J87/SUM(J87,J240),0)*'[1]Electricity and CHPs_IN'!F$40</f>
        <v>0</v>
      </c>
      <c r="K315" s="1">
        <f>IFERROR(K87/SUM(K87,K240),0)*'[1]Electricity and CHPs_IN'!G$40</f>
        <v>0</v>
      </c>
    </row>
    <row r="316" spans="1:11" x14ac:dyDescent="0.35">
      <c r="A316" s="5" t="s">
        <v>5</v>
      </c>
      <c r="B316" s="5" t="str">
        <f t="shared" si="171"/>
        <v>SPS4</v>
      </c>
      <c r="C316" s="5" t="s">
        <v>7</v>
      </c>
      <c r="D316" t="s">
        <v>105</v>
      </c>
      <c r="E316" t="str">
        <f t="shared" si="164"/>
        <v>PJ/yr.</v>
      </c>
      <c r="F316" s="1">
        <f>IFERROR(F88/SUM(F88,F241),0)*'[1]Electricity and CHPs_IN'!$B$47</f>
        <v>0</v>
      </c>
      <c r="G316" s="1">
        <f>IFERROR(G88/SUM(G88,G241),0)*'[1]Electricity and CHPs_IN'!$B$47</f>
        <v>0</v>
      </c>
      <c r="H316" s="1">
        <f>IFERROR(H88/SUM(H88,H241),0)*'[1]Electricity and CHPs_IN'!$B$47</f>
        <v>0</v>
      </c>
      <c r="I316" s="1">
        <f>IFERROR(I88/SUM(I88,I241),0)*'[1]Electricity and CHPs_IN'!$B$47</f>
        <v>0</v>
      </c>
      <c r="J316" s="1">
        <f>IFERROR(J88/SUM(J88,J241),0)*'[1]Electricity and CHPs_IN'!$B$47</f>
        <v>0</v>
      </c>
      <c r="K316" s="1">
        <f>IFERROR(K88/SUM(K88,K241),0)*'[1]Electricity and CHPs_IN'!$B$47</f>
        <v>0</v>
      </c>
    </row>
    <row r="317" spans="1:11" x14ac:dyDescent="0.35">
      <c r="A317" s="5" t="s">
        <v>5</v>
      </c>
      <c r="B317" s="5" t="str">
        <f t="shared" si="171"/>
        <v>SPS4</v>
      </c>
      <c r="C317" s="5" t="s">
        <v>7</v>
      </c>
      <c r="D317" t="s">
        <v>106</v>
      </c>
      <c r="E317" t="str">
        <f t="shared" si="164"/>
        <v>PJ/yr.</v>
      </c>
      <c r="F317" s="1">
        <f>F89/SUM(F89,F242)*'[1]Electricity and CHPs_IN'!B$48</f>
        <v>1.7456243126814878E-2</v>
      </c>
      <c r="G317" s="1">
        <f>G89/SUM(G89,G242)*'[1]Electricity and CHPs_IN'!C$48</f>
        <v>2.487476522815378E-3</v>
      </c>
      <c r="H317" s="1">
        <f>H89/SUM(H89,H242)*'[1]Electricity and CHPs_IN'!D$48</f>
        <v>4.1449622760106461E-3</v>
      </c>
      <c r="I317" s="1">
        <f>I89/SUM(I89,I242)*'[1]Electricity and CHPs_IN'!E$48</f>
        <v>7.0656388343038595E-3</v>
      </c>
      <c r="J317" s="1">
        <f>J89/SUM(J89,J242)*'[1]Electricity and CHPs_IN'!F$48</f>
        <v>1.4315193713645051E-3</v>
      </c>
      <c r="K317" s="1">
        <f>K89/SUM(K89,K242)*'[1]Electricity and CHPs_IN'!G$48</f>
        <v>5.3905373713435546E-4</v>
      </c>
    </row>
    <row r="318" spans="1:11" x14ac:dyDescent="0.35">
      <c r="A318" s="5" t="s">
        <v>5</v>
      </c>
      <c r="B318" s="5" t="str">
        <f t="shared" si="171"/>
        <v>SPS4</v>
      </c>
      <c r="C318" s="5" t="s">
        <v>7</v>
      </c>
      <c r="D318" t="s">
        <v>107</v>
      </c>
      <c r="E318" t="str">
        <f t="shared" si="164"/>
        <v>PJ/yr.</v>
      </c>
      <c r="F318" s="1">
        <f>IFERROR(F90/SUM(F90,F243),0)*'[1]Electricity and CHPs_IN'!B$49</f>
        <v>0</v>
      </c>
      <c r="G318" s="1">
        <f>IFERROR(G90/SUM(G90,G243),0)*'[1]Electricity and CHPs_IN'!C$49</f>
        <v>0</v>
      </c>
      <c r="H318" s="1">
        <f>IFERROR(H90/SUM(H90,H243),0)*'[1]Electricity and CHPs_IN'!D$49</f>
        <v>0</v>
      </c>
      <c r="I318" s="1">
        <f>IFERROR(I90/SUM(I90,I243),0)*'[1]Electricity and CHPs_IN'!E$49</f>
        <v>5.6148099893343873E-4</v>
      </c>
      <c r="J318" s="1">
        <f>IFERROR(J90/SUM(J90,J243),0)*'[1]Electricity and CHPs_IN'!F$49</f>
        <v>1.7590621170721281E-3</v>
      </c>
      <c r="K318" s="1">
        <f>IFERROR(K90/SUM(K90,K243),0)*'[1]Electricity and CHPs_IN'!G$49</f>
        <v>1.5939750190843301E-3</v>
      </c>
    </row>
    <row r="319" spans="1:11" x14ac:dyDescent="0.35">
      <c r="A319" s="5" t="s">
        <v>5</v>
      </c>
      <c r="B319" s="5" t="str">
        <f t="shared" si="171"/>
        <v>SPS4</v>
      </c>
      <c r="C319" s="5" t="s">
        <v>7</v>
      </c>
      <c r="D319" t="s">
        <v>108</v>
      </c>
      <c r="E319" t="str">
        <f t="shared" si="164"/>
        <v>PJ/yr.</v>
      </c>
      <c r="F319" s="1">
        <f>IFERROR(F91/SUM(F91,F244),0)*'[1]Electricity and CHPs_IN'!B$51</f>
        <v>2.682774111972383E-2</v>
      </c>
      <c r="G319" s="1">
        <f>IFERROR(G91/SUM(G91,G244),0)*'[1]Electricity and CHPs_IN'!C$51</f>
        <v>2.6433843548748534E-3</v>
      </c>
      <c r="H319" s="1">
        <f>IFERROR(H91/SUM(H91,H244),0)*'[1]Electricity and CHPs_IN'!D$51</f>
        <v>6.2601797171621875E-3</v>
      </c>
      <c r="I319" s="1">
        <f>IFERROR(I91/SUM(I91,I244),0)*'[1]Electricity and CHPs_IN'!E$51</f>
        <v>0.71533830592197822</v>
      </c>
      <c r="J319" s="1">
        <f>IFERROR(J91/SUM(J91,J244),0)*'[1]Electricity and CHPs_IN'!F$51</f>
        <v>1.1864520382490338</v>
      </c>
      <c r="K319" s="1">
        <f>IFERROR(K91/SUM(K91,K244),0)*'[1]Electricity and CHPs_IN'!G$51</f>
        <v>0.61742061622910016</v>
      </c>
    </row>
    <row r="320" spans="1:11" x14ac:dyDescent="0.35">
      <c r="A320" s="5" t="s">
        <v>5</v>
      </c>
      <c r="B320" s="5" t="str">
        <f t="shared" si="171"/>
        <v>SPS4</v>
      </c>
      <c r="C320" s="5" t="s">
        <v>7</v>
      </c>
      <c r="D320" t="s">
        <v>109</v>
      </c>
      <c r="E320" t="str">
        <f t="shared" si="164"/>
        <v>PJ/yr.</v>
      </c>
      <c r="F320" s="1">
        <f>IFERROR(F92/SUM(F92,F245),0)*'[1]Electricity and CHPs_IN'!B$52</f>
        <v>0</v>
      </c>
      <c r="G320" s="1">
        <f>IFERROR(G92/SUM(G92,G245),0)*'[1]Electricity and CHPs_IN'!C$52</f>
        <v>0</v>
      </c>
      <c r="H320" s="1">
        <f>IFERROR(H92/SUM(H92,H245),0)*'[1]Electricity and CHPs_IN'!D$52</f>
        <v>0</v>
      </c>
      <c r="I320" s="1">
        <f>IFERROR(I92/SUM(I92,I245),0)*'[1]Electricity and CHPs_IN'!E$52</f>
        <v>2.5381316393948304E-3</v>
      </c>
      <c r="J320" s="1">
        <f>IFERROR(J92/SUM(J92,J245),0)*'[1]Electricity and CHPs_IN'!F$52</f>
        <v>1.3900244716356052E-2</v>
      </c>
      <c r="K320" s="1">
        <f>IFERROR(K92/SUM(K92,K245),0)*'[1]Electricity and CHPs_IN'!G$52</f>
        <v>2.9305689820137468</v>
      </c>
    </row>
    <row r="321" spans="1:11" x14ac:dyDescent="0.35">
      <c r="A321" s="5" t="s">
        <v>5</v>
      </c>
      <c r="B321" s="5" t="str">
        <f t="shared" si="171"/>
        <v>SPS4</v>
      </c>
      <c r="C321" s="5" t="s">
        <v>7</v>
      </c>
      <c r="D321" t="s">
        <v>110</v>
      </c>
      <c r="E321" t="str">
        <f t="shared" si="164"/>
        <v>PJ/yr.</v>
      </c>
      <c r="F321" s="1">
        <f>IFERROR(F93/SUM(F93,F246),0)*'[1]Electricity and CHPs_IN'!B$54</f>
        <v>1.0647056350772977</v>
      </c>
      <c r="G321" s="1">
        <f>IFERROR(G93/SUM(G93,G246),0)*'[1]Electricity and CHPs_IN'!C$54</f>
        <v>1.2550459522664454</v>
      </c>
      <c r="H321" s="1">
        <f>IFERROR(H93/SUM(H93,H246),0)*'[1]Electricity and CHPs_IN'!D$54</f>
        <v>1.2999325793639986</v>
      </c>
      <c r="I321" s="1">
        <f>IFERROR(I93/SUM(I93,I246),0)*'[1]Electricity and CHPs_IN'!E$54</f>
        <v>1.3801490737175559</v>
      </c>
      <c r="J321" s="1">
        <f>IFERROR(J93/SUM(J93,J246),0)*'[1]Electricity and CHPs_IN'!F$54</f>
        <v>1.5448371213544241</v>
      </c>
      <c r="K321" s="1">
        <f>IFERROR(K93/SUM(K93,K246),0)*'[1]Electricity and CHPs_IN'!G$54</f>
        <v>1.5037393962368144</v>
      </c>
    </row>
    <row r="322" spans="1:11" x14ac:dyDescent="0.35">
      <c r="A322" s="5" t="s">
        <v>5</v>
      </c>
      <c r="B322" s="5" t="str">
        <f t="shared" si="171"/>
        <v>SPS4</v>
      </c>
      <c r="C322" s="5" t="s">
        <v>7</v>
      </c>
      <c r="D322" t="s">
        <v>111</v>
      </c>
      <c r="E322" t="str">
        <f t="shared" si="164"/>
        <v>PJ/yr.</v>
      </c>
      <c r="F322" s="1">
        <f>IFERROR(F94/SUM(F94,F247),0)*'[1]Electricity and CHPs_IN'!B$55</f>
        <v>0.76852486201148584</v>
      </c>
      <c r="G322" s="1">
        <f>IFERROR(G94/SUM(G94,G247),0)*'[1]Electricity and CHPs_IN'!C$55</f>
        <v>0.79075901185394903</v>
      </c>
      <c r="H322" s="1">
        <f>IFERROR(H94/SUM(H94,H247),0)*'[1]Electricity and CHPs_IN'!D$55</f>
        <v>2.1379375414218482E-2</v>
      </c>
      <c r="I322" s="1">
        <f>IFERROR(I94/SUM(I94,I247),0)*'[1]Electricity and CHPs_IN'!E$55</f>
        <v>2.0038546970725626E-2</v>
      </c>
      <c r="J322" s="1">
        <f>IFERROR(J94/SUM(J94,J247),0)*'[1]Electricity and CHPs_IN'!F$55</f>
        <v>2.8469199723066059E-2</v>
      </c>
      <c r="K322" s="1">
        <f>IFERROR(K94/SUM(K94,K247),0)*'[1]Electricity and CHPs_IN'!G$55</f>
        <v>1.1704955068797052E-3</v>
      </c>
    </row>
    <row r="323" spans="1:11" x14ac:dyDescent="0.35">
      <c r="A323" s="5" t="s">
        <v>5</v>
      </c>
      <c r="B323" s="5" t="str">
        <f t="shared" si="171"/>
        <v>SPS4</v>
      </c>
      <c r="C323" s="5" t="s">
        <v>7</v>
      </c>
      <c r="D323" t="s">
        <v>112</v>
      </c>
      <c r="E323" t="str">
        <f t="shared" si="164"/>
        <v>PJ/yr.</v>
      </c>
      <c r="F323" s="1">
        <f>IFERROR(F95/SUM(F95,F248),0)*'[1]Electricity and CHPs_IN'!B$58</f>
        <v>0</v>
      </c>
      <c r="G323" s="1">
        <f>IFERROR(G95/SUM(G95,G248),0)*'[1]Electricity and CHPs_IN'!C$58</f>
        <v>0</v>
      </c>
      <c r="H323" s="1">
        <f>IFERROR(H95/SUM(H95,H248),0)*'[1]Electricity and CHPs_IN'!D$58</f>
        <v>0</v>
      </c>
      <c r="I323" s="1">
        <f>IFERROR(I95/SUM(I95,I248),0)*'[1]Electricity and CHPs_IN'!E$58</f>
        <v>5.8938947474517986E-4</v>
      </c>
      <c r="J323" s="1">
        <f>IFERROR(J95/SUM(J95,J248),0)*'[1]Electricity and CHPs_IN'!F$58</f>
        <v>1.1679260425749771E-2</v>
      </c>
      <c r="K323" s="1">
        <f>IFERROR(K95/SUM(K95,K248),0)*'[1]Electricity and CHPs_IN'!G$58</f>
        <v>7.4165956926715699</v>
      </c>
    </row>
    <row r="324" spans="1:11" x14ac:dyDescent="0.35">
      <c r="A324" s="5" t="s">
        <v>5</v>
      </c>
      <c r="B324" s="5" t="str">
        <f t="shared" si="171"/>
        <v>SPS4</v>
      </c>
      <c r="C324" s="5" t="s">
        <v>7</v>
      </c>
      <c r="D324" t="s">
        <v>852</v>
      </c>
      <c r="E324" t="str">
        <f t="shared" si="164"/>
        <v>PJ/yr.</v>
      </c>
      <c r="F324" s="1">
        <f>F308-F340</f>
        <v>2.9138660580327764</v>
      </c>
      <c r="G324" s="1">
        <f t="shared" ref="G324:K324" si="173">G308-G340</f>
        <v>0.89887855416422013</v>
      </c>
      <c r="H324" s="1">
        <f t="shared" si="173"/>
        <v>0.11406821531135281</v>
      </c>
      <c r="I324" s="1">
        <f t="shared" si="173"/>
        <v>1.190056225172643</v>
      </c>
      <c r="J324" s="1">
        <f t="shared" si="173"/>
        <v>2.4188835155311414</v>
      </c>
      <c r="K324" s="1">
        <f t="shared" si="173"/>
        <v>23.531855566021679</v>
      </c>
    </row>
    <row r="325" spans="1:11" x14ac:dyDescent="0.35">
      <c r="A325" s="5" t="s">
        <v>5</v>
      </c>
      <c r="B325" s="5" t="str">
        <f t="shared" si="171"/>
        <v>SPS4</v>
      </c>
      <c r="C325" s="5" t="s">
        <v>7</v>
      </c>
      <c r="D325" t="s">
        <v>579</v>
      </c>
      <c r="E325" t="str">
        <f t="shared" si="164"/>
        <v>PJ/yr.</v>
      </c>
      <c r="F325" s="1">
        <f>IFERROR(F97/F81,0)*F309</f>
        <v>0</v>
      </c>
      <c r="G325" s="1">
        <f t="shared" ref="G325:K325" si="174">IFERROR(G97/G81,0)*G309</f>
        <v>0</v>
      </c>
      <c r="H325" s="1">
        <f t="shared" si="174"/>
        <v>0</v>
      </c>
      <c r="I325" s="1">
        <f t="shared" si="174"/>
        <v>0</v>
      </c>
      <c r="J325" s="1">
        <f t="shared" si="174"/>
        <v>7.3122417996712638E-2</v>
      </c>
      <c r="K325" s="1">
        <f t="shared" si="174"/>
        <v>9.2448191102536832</v>
      </c>
    </row>
    <row r="326" spans="1:11" x14ac:dyDescent="0.35">
      <c r="A326" s="5" t="s">
        <v>5</v>
      </c>
      <c r="B326" s="5" t="str">
        <f t="shared" si="171"/>
        <v>SPS4</v>
      </c>
      <c r="C326" s="5" t="s">
        <v>7</v>
      </c>
      <c r="D326" t="s">
        <v>580</v>
      </c>
      <c r="E326" t="str">
        <f t="shared" si="164"/>
        <v>PJ/yr.</v>
      </c>
      <c r="F326" s="1">
        <f t="shared" ref="F326:K326" si="175">IFERROR(F98/F82,0)*F310</f>
        <v>0</v>
      </c>
      <c r="G326" s="1">
        <f t="shared" si="175"/>
        <v>0</v>
      </c>
      <c r="H326" s="1">
        <f t="shared" si="175"/>
        <v>0</v>
      </c>
      <c r="I326" s="1">
        <f t="shared" si="175"/>
        <v>0</v>
      </c>
      <c r="J326" s="1">
        <f t="shared" si="175"/>
        <v>2.5103245996074851E-2</v>
      </c>
      <c r="K326" s="1">
        <f t="shared" si="175"/>
        <v>9.6072072700120834E-3</v>
      </c>
    </row>
    <row r="327" spans="1:11" x14ac:dyDescent="0.35">
      <c r="A327" s="5" t="s">
        <v>5</v>
      </c>
      <c r="B327" s="5" t="str">
        <f t="shared" si="171"/>
        <v>SPS4</v>
      </c>
      <c r="C327" s="5" t="s">
        <v>7</v>
      </c>
      <c r="D327" t="s">
        <v>581</v>
      </c>
      <c r="E327" t="str">
        <f t="shared" si="164"/>
        <v>PJ/yr.</v>
      </c>
      <c r="F327" s="1">
        <f t="shared" ref="F327:K327" si="176">IFERROR(F99/F83,0)*F311</f>
        <v>0</v>
      </c>
      <c r="G327" s="1">
        <f t="shared" si="176"/>
        <v>0</v>
      </c>
      <c r="H327" s="1">
        <f t="shared" si="176"/>
        <v>0</v>
      </c>
      <c r="I327" s="1">
        <f t="shared" si="176"/>
        <v>0</v>
      </c>
      <c r="J327" s="1">
        <f t="shared" si="176"/>
        <v>0</v>
      </c>
      <c r="K327" s="1">
        <f t="shared" si="176"/>
        <v>0</v>
      </c>
    </row>
    <row r="328" spans="1:11" x14ac:dyDescent="0.35">
      <c r="A328" s="5" t="s">
        <v>5</v>
      </c>
      <c r="B328" s="5" t="str">
        <f t="shared" si="171"/>
        <v>SPS4</v>
      </c>
      <c r="C328" s="5" t="s">
        <v>7</v>
      </c>
      <c r="D328" t="s">
        <v>582</v>
      </c>
      <c r="E328" t="str">
        <f t="shared" si="164"/>
        <v>PJ/yr.</v>
      </c>
      <c r="F328" s="1">
        <f t="shared" ref="F328:K328" si="177">IFERROR(F100/F84,0)*F312</f>
        <v>1.2509009044241857</v>
      </c>
      <c r="G328" s="1">
        <f t="shared" si="177"/>
        <v>7.7542414078682494E-4</v>
      </c>
      <c r="H328" s="1">
        <f t="shared" si="177"/>
        <v>3.5869793576452807E-3</v>
      </c>
      <c r="I328" s="1">
        <f t="shared" si="177"/>
        <v>3.6697330793844891E-3</v>
      </c>
      <c r="J328" s="1">
        <f t="shared" si="177"/>
        <v>0.59302970809503897</v>
      </c>
      <c r="K328" s="1">
        <f t="shared" si="177"/>
        <v>1.1992239569979877</v>
      </c>
    </row>
    <row r="329" spans="1:11" x14ac:dyDescent="0.35">
      <c r="A329" s="5" t="s">
        <v>5</v>
      </c>
      <c r="B329" s="5" t="str">
        <f t="shared" si="171"/>
        <v>SPS4</v>
      </c>
      <c r="C329" s="5" t="s">
        <v>7</v>
      </c>
      <c r="D329" t="s">
        <v>583</v>
      </c>
      <c r="E329" t="str">
        <f t="shared" si="164"/>
        <v>PJ/yr.</v>
      </c>
      <c r="F329" s="1">
        <f t="shared" ref="F329:K329" si="178">IFERROR(F101/F85,0)*F313</f>
        <v>0</v>
      </c>
      <c r="G329" s="1">
        <f t="shared" si="178"/>
        <v>0</v>
      </c>
      <c r="H329" s="1">
        <f t="shared" si="178"/>
        <v>0</v>
      </c>
      <c r="I329" s="1">
        <f t="shared" si="178"/>
        <v>0</v>
      </c>
      <c r="J329" s="1">
        <f t="shared" si="178"/>
        <v>0.44373416593339876</v>
      </c>
      <c r="K329" s="1">
        <f t="shared" si="178"/>
        <v>2.2333647304058744</v>
      </c>
    </row>
    <row r="330" spans="1:11" x14ac:dyDescent="0.35">
      <c r="A330" s="5" t="s">
        <v>5</v>
      </c>
      <c r="B330" s="5" t="str">
        <f t="shared" si="171"/>
        <v>SPS4</v>
      </c>
      <c r="C330" s="5" t="s">
        <v>7</v>
      </c>
      <c r="D330" t="s">
        <v>584</v>
      </c>
      <c r="E330" t="str">
        <f t="shared" si="164"/>
        <v>PJ/yr.</v>
      </c>
      <c r="F330" s="1">
        <f t="shared" ref="F330:K330" si="179">IFERROR(F102/F86,0)*F314</f>
        <v>0.87071841021343943</v>
      </c>
      <c r="G330" s="1">
        <f t="shared" si="179"/>
        <v>0.11812594895259214</v>
      </c>
      <c r="H330" s="1">
        <f t="shared" si="179"/>
        <v>8.0744089159787313E-2</v>
      </c>
      <c r="I330" s="1">
        <f t="shared" si="179"/>
        <v>0.50509789782539549</v>
      </c>
      <c r="J330" s="1">
        <f t="shared" si="179"/>
        <v>7.5648061339221959E-2</v>
      </c>
      <c r="K330" s="1">
        <f t="shared" si="179"/>
        <v>1.6883506025361716E-2</v>
      </c>
    </row>
    <row r="331" spans="1:11" x14ac:dyDescent="0.35">
      <c r="A331" s="5" t="s">
        <v>5</v>
      </c>
      <c r="B331" s="5" t="str">
        <f t="shared" si="171"/>
        <v>SPS4</v>
      </c>
      <c r="C331" s="5" t="s">
        <v>7</v>
      </c>
      <c r="D331" t="s">
        <v>585</v>
      </c>
      <c r="E331" t="str">
        <f t="shared" si="164"/>
        <v>PJ/yr.</v>
      </c>
      <c r="F331" s="1">
        <f t="shared" ref="F331:K331" si="180">IFERROR(F103/F87,0)*F315</f>
        <v>0</v>
      </c>
      <c r="G331" s="1">
        <f t="shared" si="180"/>
        <v>0</v>
      </c>
      <c r="H331" s="1">
        <f t="shared" si="180"/>
        <v>0</v>
      </c>
      <c r="I331" s="1">
        <f t="shared" si="180"/>
        <v>0</v>
      </c>
      <c r="J331" s="1">
        <f t="shared" si="180"/>
        <v>0</v>
      </c>
      <c r="K331" s="1">
        <f t="shared" si="180"/>
        <v>0</v>
      </c>
    </row>
    <row r="332" spans="1:11" x14ac:dyDescent="0.35">
      <c r="A332" s="5" t="s">
        <v>5</v>
      </c>
      <c r="B332" s="5" t="str">
        <f t="shared" si="171"/>
        <v>SPS4</v>
      </c>
      <c r="C332" s="5" t="s">
        <v>7</v>
      </c>
      <c r="D332" t="s">
        <v>586</v>
      </c>
      <c r="E332" t="str">
        <f t="shared" si="164"/>
        <v>PJ/yr.</v>
      </c>
      <c r="F332" s="1">
        <f t="shared" ref="F332:K332" si="181">IFERROR(F104/F88,0)*F316</f>
        <v>0</v>
      </c>
      <c r="G332" s="1">
        <f t="shared" si="181"/>
        <v>0</v>
      </c>
      <c r="H332" s="1">
        <f t="shared" si="181"/>
        <v>0</v>
      </c>
      <c r="I332" s="1">
        <f t="shared" si="181"/>
        <v>0</v>
      </c>
      <c r="J332" s="1">
        <f t="shared" si="181"/>
        <v>0</v>
      </c>
      <c r="K332" s="1">
        <f t="shared" si="181"/>
        <v>0</v>
      </c>
    </row>
    <row r="333" spans="1:11" x14ac:dyDescent="0.35">
      <c r="A333" s="5" t="s">
        <v>5</v>
      </c>
      <c r="B333" s="5" t="str">
        <f t="shared" si="171"/>
        <v>SPS4</v>
      </c>
      <c r="C333" s="5" t="s">
        <v>7</v>
      </c>
      <c r="D333" t="s">
        <v>587</v>
      </c>
      <c r="E333" t="str">
        <f t="shared" si="164"/>
        <v>PJ/yr.</v>
      </c>
      <c r="F333" s="1">
        <f t="shared" ref="F333:K333" si="182">IFERROR(F105/F89,0)*F317</f>
        <v>1.7014642289883371E-2</v>
      </c>
      <c r="G333" s="1">
        <f t="shared" si="182"/>
        <v>2.4377429500219701E-3</v>
      </c>
      <c r="H333" s="1">
        <f t="shared" si="182"/>
        <v>3.877968322662898E-3</v>
      </c>
      <c r="I333" s="1">
        <f t="shared" si="182"/>
        <v>6.4515962518250595E-3</v>
      </c>
      <c r="J333" s="1">
        <f t="shared" si="182"/>
        <v>1.3907208325369764E-3</v>
      </c>
      <c r="K333" s="1">
        <f t="shared" si="182"/>
        <v>5.3217632075080968E-4</v>
      </c>
    </row>
    <row r="334" spans="1:11" x14ac:dyDescent="0.35">
      <c r="A334" s="5" t="s">
        <v>5</v>
      </c>
      <c r="B334" s="5" t="str">
        <f t="shared" si="171"/>
        <v>SPS4</v>
      </c>
      <c r="C334" s="5" t="s">
        <v>7</v>
      </c>
      <c r="D334" t="s">
        <v>588</v>
      </c>
      <c r="E334" t="str">
        <f t="shared" si="164"/>
        <v>PJ/yr.</v>
      </c>
      <c r="F334" s="1">
        <f t="shared" ref="F334:K334" si="183">IFERROR(F106/F90,0)*F318</f>
        <v>0</v>
      </c>
      <c r="G334" s="1">
        <f t="shared" si="183"/>
        <v>0</v>
      </c>
      <c r="H334" s="1">
        <f t="shared" si="183"/>
        <v>0</v>
      </c>
      <c r="I334" s="1">
        <f t="shared" si="183"/>
        <v>5.1268523528302649E-4</v>
      </c>
      <c r="J334" s="1">
        <f t="shared" si="183"/>
        <v>1.7089285558231494E-3</v>
      </c>
      <c r="K334" s="1">
        <f t="shared" si="183"/>
        <v>1.5736385866360733E-3</v>
      </c>
    </row>
    <row r="335" spans="1:11" x14ac:dyDescent="0.35">
      <c r="A335" s="5" t="s">
        <v>5</v>
      </c>
      <c r="B335" s="5" t="str">
        <f t="shared" si="171"/>
        <v>SPS4</v>
      </c>
      <c r="C335" s="5" t="s">
        <v>7</v>
      </c>
      <c r="D335" t="s">
        <v>589</v>
      </c>
      <c r="E335" t="str">
        <f t="shared" si="164"/>
        <v>PJ/yr.</v>
      </c>
      <c r="F335" s="1">
        <f t="shared" ref="F335:K335" si="184">IFERROR(F107/F91,0)*F319</f>
        <v>2.6149063992842319E-2</v>
      </c>
      <c r="G335" s="1">
        <f t="shared" si="184"/>
        <v>2.5905336256204004E-3</v>
      </c>
      <c r="H335" s="1">
        <f t="shared" si="184"/>
        <v>5.856935967267024E-3</v>
      </c>
      <c r="I335" s="1">
        <f t="shared" si="184"/>
        <v>0.65317150246440836</v>
      </c>
      <c r="J335" s="1">
        <f t="shared" si="184"/>
        <v>1.1526379589443547</v>
      </c>
      <c r="K335" s="1">
        <f t="shared" si="184"/>
        <v>0.60954337066140163</v>
      </c>
    </row>
    <row r="336" spans="1:11" x14ac:dyDescent="0.35">
      <c r="A336" s="5" t="s">
        <v>5</v>
      </c>
      <c r="B336" s="5" t="str">
        <f t="shared" si="171"/>
        <v>SPS4</v>
      </c>
      <c r="C336" s="5" t="s">
        <v>7</v>
      </c>
      <c r="D336" t="s">
        <v>590</v>
      </c>
      <c r="E336" t="str">
        <f t="shared" si="164"/>
        <v>PJ/yr.</v>
      </c>
      <c r="F336" s="1">
        <f t="shared" ref="F336:K336" si="185">IFERROR(F108/F92,0)*F320</f>
        <v>0</v>
      </c>
      <c r="G336" s="1">
        <f t="shared" si="185"/>
        <v>0</v>
      </c>
      <c r="H336" s="1">
        <f t="shared" si="185"/>
        <v>0</v>
      </c>
      <c r="I336" s="1">
        <f t="shared" si="185"/>
        <v>2.3175541455440988E-3</v>
      </c>
      <c r="J336" s="1">
        <f t="shared" si="185"/>
        <v>1.3504085443127468E-2</v>
      </c>
      <c r="K336" s="1">
        <f t="shared" si="185"/>
        <v>2.8931798652307776</v>
      </c>
    </row>
    <row r="337" spans="1:11" x14ac:dyDescent="0.35">
      <c r="A337" s="5" t="s">
        <v>5</v>
      </c>
      <c r="B337" s="5" t="str">
        <f t="shared" si="171"/>
        <v>SPS4</v>
      </c>
      <c r="C337" s="5" t="s">
        <v>7</v>
      </c>
      <c r="D337" t="s">
        <v>591</v>
      </c>
      <c r="E337" t="str">
        <f t="shared" si="164"/>
        <v>PJ/yr.</v>
      </c>
      <c r="F337" s="1">
        <f t="shared" ref="F337:K337" si="186">IFERROR(F109/F93,0)*F321</f>
        <v>0</v>
      </c>
      <c r="G337" s="1">
        <f t="shared" si="186"/>
        <v>0</v>
      </c>
      <c r="H337" s="1">
        <f t="shared" si="186"/>
        <v>0</v>
      </c>
      <c r="I337" s="1">
        <f t="shared" si="186"/>
        <v>0</v>
      </c>
      <c r="J337" s="1">
        <f t="shared" si="186"/>
        <v>0</v>
      </c>
      <c r="K337" s="1">
        <f t="shared" si="186"/>
        <v>0</v>
      </c>
    </row>
    <row r="338" spans="1:11" x14ac:dyDescent="0.35">
      <c r="A338" s="5" t="s">
        <v>5</v>
      </c>
      <c r="B338" s="5" t="str">
        <f t="shared" si="171"/>
        <v>SPS4</v>
      </c>
      <c r="C338" s="5" t="s">
        <v>7</v>
      </c>
      <c r="D338" t="s">
        <v>592</v>
      </c>
      <c r="E338" t="str">
        <f t="shared" si="164"/>
        <v>PJ/yr.</v>
      </c>
      <c r="F338" s="1">
        <f t="shared" ref="F338:K338" si="187">IFERROR(F110/F94,0)*F322</f>
        <v>0.74908303711242652</v>
      </c>
      <c r="G338" s="1">
        <f t="shared" si="187"/>
        <v>0.77494890449519893</v>
      </c>
      <c r="H338" s="1">
        <f t="shared" si="187"/>
        <v>2.0002242503990471E-2</v>
      </c>
      <c r="I338" s="1">
        <f t="shared" si="187"/>
        <v>1.8297087858594345E-2</v>
      </c>
      <c r="J338" s="1">
        <f t="shared" si="187"/>
        <v>2.7657822822742976E-2</v>
      </c>
      <c r="K338" s="1">
        <f t="shared" si="187"/>
        <v>1.1555619586611631E-3</v>
      </c>
    </row>
    <row r="339" spans="1:11" x14ac:dyDescent="0.35">
      <c r="A339" s="5" t="s">
        <v>5</v>
      </c>
      <c r="B339" s="5" t="str">
        <f t="shared" si="171"/>
        <v>SPS4</v>
      </c>
      <c r="C339" s="5" t="s">
        <v>7</v>
      </c>
      <c r="D339" t="s">
        <v>593</v>
      </c>
      <c r="E339" t="str">
        <f t="shared" si="164"/>
        <v>PJ/yr.</v>
      </c>
      <c r="F339" s="1">
        <f t="shared" ref="F339:K339" si="188">IFERROR(F111/F95,0)*F323</f>
        <v>0</v>
      </c>
      <c r="G339" s="1">
        <f t="shared" si="188"/>
        <v>0</v>
      </c>
      <c r="H339" s="1">
        <f t="shared" si="188"/>
        <v>0</v>
      </c>
      <c r="I339" s="1">
        <f t="shared" si="188"/>
        <v>5.3816831220835867E-4</v>
      </c>
      <c r="J339" s="1">
        <f t="shared" si="188"/>
        <v>1.1346399572108245E-2</v>
      </c>
      <c r="K339" s="1">
        <f t="shared" si="188"/>
        <v>7.3219724423105372</v>
      </c>
    </row>
    <row r="340" spans="1:11" x14ac:dyDescent="0.35">
      <c r="A340" s="5" t="s">
        <v>5</v>
      </c>
      <c r="B340" s="5" t="str">
        <f t="shared" si="171"/>
        <v>SPS4</v>
      </c>
      <c r="C340" s="5" t="s">
        <v>7</v>
      </c>
      <c r="D340" t="s">
        <v>853</v>
      </c>
      <c r="E340" t="str">
        <f t="shared" si="164"/>
        <v>PJ/yr.</v>
      </c>
      <c r="F340" s="1">
        <f>SUM(F341:F355)</f>
        <v>1.1403325961388695</v>
      </c>
      <c r="G340" s="1">
        <f t="shared" ref="G340:K340" si="189">SUM(G341:G355)</f>
        <v>1.2733844083393291</v>
      </c>
      <c r="H340" s="1">
        <f t="shared" si="189"/>
        <v>1.307786053457461</v>
      </c>
      <c r="I340" s="1">
        <f t="shared" si="189"/>
        <v>1.4934148717118529</v>
      </c>
      <c r="J340" s="1">
        <f t="shared" si="189"/>
        <v>1.6159689453257473</v>
      </c>
      <c r="K340" s="1">
        <f t="shared" si="189"/>
        <v>1.8079474475642547</v>
      </c>
    </row>
    <row r="341" spans="1:11" x14ac:dyDescent="0.35">
      <c r="A341" s="5" t="s">
        <v>5</v>
      </c>
      <c r="B341" s="5" t="str">
        <f t="shared" si="171"/>
        <v>SPS4</v>
      </c>
      <c r="C341" s="5" t="s">
        <v>7</v>
      </c>
      <c r="D341" t="s">
        <v>640</v>
      </c>
      <c r="E341" t="str">
        <f t="shared" si="164"/>
        <v>PJ/yr.</v>
      </c>
      <c r="F341" s="1">
        <f>F309-F325</f>
        <v>0</v>
      </c>
      <c r="G341" s="1">
        <f t="shared" ref="G341:K341" si="190">G309-G325</f>
        <v>0</v>
      </c>
      <c r="H341" s="1">
        <f t="shared" si="190"/>
        <v>0</v>
      </c>
      <c r="I341" s="1">
        <f t="shared" si="190"/>
        <v>0</v>
      </c>
      <c r="J341" s="1">
        <f t="shared" si="190"/>
        <v>2.1451377875453814E-3</v>
      </c>
      <c r="K341" s="1">
        <f t="shared" si="190"/>
        <v>0.11947256563778375</v>
      </c>
    </row>
    <row r="342" spans="1:11" x14ac:dyDescent="0.35">
      <c r="A342" s="5" t="s">
        <v>5</v>
      </c>
      <c r="B342" s="5" t="str">
        <f t="shared" si="171"/>
        <v>SPS4</v>
      </c>
      <c r="C342" s="5" t="s">
        <v>7</v>
      </c>
      <c r="D342" t="s">
        <v>641</v>
      </c>
      <c r="E342" t="str">
        <f t="shared" si="164"/>
        <v>PJ/yr.</v>
      </c>
      <c r="F342" s="1">
        <f t="shared" ref="F342:K342" si="191">F310-F326</f>
        <v>0</v>
      </c>
      <c r="G342" s="1">
        <f t="shared" si="191"/>
        <v>0</v>
      </c>
      <c r="H342" s="1">
        <f t="shared" si="191"/>
        <v>0</v>
      </c>
      <c r="I342" s="1">
        <f t="shared" si="191"/>
        <v>0</v>
      </c>
      <c r="J342" s="1">
        <f t="shared" si="191"/>
        <v>7.3643518706737257E-4</v>
      </c>
      <c r="K342" s="1">
        <f t="shared" si="191"/>
        <v>1.2415577714108665E-4</v>
      </c>
    </row>
    <row r="343" spans="1:11" x14ac:dyDescent="0.35">
      <c r="A343" s="5" t="s">
        <v>5</v>
      </c>
      <c r="B343" s="5" t="str">
        <f t="shared" si="171"/>
        <v>SPS4</v>
      </c>
      <c r="C343" s="5" t="s">
        <v>7</v>
      </c>
      <c r="D343" t="s">
        <v>642</v>
      </c>
      <c r="E343" t="str">
        <f t="shared" si="164"/>
        <v>PJ/yr.</v>
      </c>
      <c r="F343" s="1">
        <f t="shared" ref="F343:K343" si="192">F311-F327</f>
        <v>0</v>
      </c>
      <c r="G343" s="1">
        <f t="shared" si="192"/>
        <v>0</v>
      </c>
      <c r="H343" s="1">
        <f t="shared" si="192"/>
        <v>0</v>
      </c>
      <c r="I343" s="1">
        <f t="shared" si="192"/>
        <v>0</v>
      </c>
      <c r="J343" s="1">
        <f t="shared" si="192"/>
        <v>1.7084408318878983E-4</v>
      </c>
      <c r="K343" s="1">
        <f t="shared" si="192"/>
        <v>1.013808602849611E-4</v>
      </c>
    </row>
    <row r="344" spans="1:11" x14ac:dyDescent="0.35">
      <c r="A344" s="5" t="s">
        <v>5</v>
      </c>
      <c r="B344" s="5" t="str">
        <f t="shared" si="171"/>
        <v>SPS4</v>
      </c>
      <c r="C344" s="5" t="s">
        <v>7</v>
      </c>
      <c r="D344" t="s">
        <v>643</v>
      </c>
      <c r="E344" t="str">
        <f t="shared" si="164"/>
        <v>PJ/yr.</v>
      </c>
      <c r="F344" s="1">
        <f t="shared" ref="F344:K344" si="193">F312-F328</f>
        <v>3.2466088731148091E-2</v>
      </c>
      <c r="G344" s="1">
        <f t="shared" si="193"/>
        <v>1.581980288415546E-5</v>
      </c>
      <c r="H344" s="1">
        <f t="shared" si="193"/>
        <v>2.4695967568318144E-4</v>
      </c>
      <c r="I344" s="1">
        <f t="shared" si="193"/>
        <v>3.4927361991006229E-4</v>
      </c>
      <c r="J344" s="1">
        <f t="shared" si="193"/>
        <v>1.7397269822626349E-2</v>
      </c>
      <c r="K344" s="1">
        <f t="shared" si="193"/>
        <v>1.549780057437089E-2</v>
      </c>
    </row>
    <row r="345" spans="1:11" x14ac:dyDescent="0.35">
      <c r="A345" s="5" t="s">
        <v>5</v>
      </c>
      <c r="B345" s="5" t="str">
        <f t="shared" si="171"/>
        <v>SPS4</v>
      </c>
      <c r="C345" s="5" t="s">
        <v>7</v>
      </c>
      <c r="D345" t="s">
        <v>644</v>
      </c>
      <c r="E345" t="str">
        <f t="shared" si="164"/>
        <v>PJ/yr.</v>
      </c>
      <c r="F345" s="1">
        <f t="shared" ref="F345:K345" si="194">F313-F329</f>
        <v>0</v>
      </c>
      <c r="G345" s="1">
        <f t="shared" si="194"/>
        <v>0</v>
      </c>
      <c r="H345" s="1">
        <f t="shared" si="194"/>
        <v>0</v>
      </c>
      <c r="I345" s="1">
        <f t="shared" si="194"/>
        <v>0</v>
      </c>
      <c r="J345" s="1">
        <f t="shared" si="194"/>
        <v>1.3017497958170143E-2</v>
      </c>
      <c r="K345" s="1">
        <f t="shared" si="194"/>
        <v>2.8862199591399573E-2</v>
      </c>
    </row>
    <row r="346" spans="1:11" x14ac:dyDescent="0.35">
      <c r="A346" s="5" t="s">
        <v>5</v>
      </c>
      <c r="B346" s="5" t="str">
        <f t="shared" si="171"/>
        <v>SPS4</v>
      </c>
      <c r="C346" s="5" t="s">
        <v>7</v>
      </c>
      <c r="D346" t="s">
        <v>645</v>
      </c>
      <c r="E346" t="str">
        <f t="shared" si="164"/>
        <v>PJ/yr.</v>
      </c>
      <c r="F346" s="1">
        <f t="shared" ref="F346:K346" si="195">F314-F330</f>
        <v>2.2598769467551461E-2</v>
      </c>
      <c r="G346" s="1">
        <f t="shared" si="195"/>
        <v>2.4099446092013949E-3</v>
      </c>
      <c r="H346" s="1">
        <f t="shared" si="195"/>
        <v>5.5591438043081504E-3</v>
      </c>
      <c r="I346" s="1">
        <f t="shared" si="195"/>
        <v>4.8073624802169146E-2</v>
      </c>
      <c r="J346" s="1">
        <f t="shared" si="195"/>
        <v>2.2192307007765089E-3</v>
      </c>
      <c r="K346" s="1">
        <f t="shared" si="195"/>
        <v>2.1818877770942227E-4</v>
      </c>
    </row>
    <row r="347" spans="1:11" x14ac:dyDescent="0.35">
      <c r="A347" s="5" t="s">
        <v>5</v>
      </c>
      <c r="B347" s="5" t="str">
        <f t="shared" si="171"/>
        <v>SPS4</v>
      </c>
      <c r="C347" s="5" t="s">
        <v>7</v>
      </c>
      <c r="D347" t="s">
        <v>646</v>
      </c>
      <c r="E347" t="str">
        <f t="shared" si="164"/>
        <v>PJ/yr.</v>
      </c>
      <c r="F347" s="1">
        <f t="shared" ref="F347:K347" si="196">F315-F331</f>
        <v>0</v>
      </c>
      <c r="G347" s="1">
        <f t="shared" si="196"/>
        <v>0</v>
      </c>
      <c r="H347" s="1">
        <f t="shared" si="196"/>
        <v>0</v>
      </c>
      <c r="I347" s="1">
        <f t="shared" si="196"/>
        <v>0</v>
      </c>
      <c r="J347" s="1">
        <f t="shared" si="196"/>
        <v>0</v>
      </c>
      <c r="K347" s="1">
        <f t="shared" si="196"/>
        <v>0</v>
      </c>
    </row>
    <row r="348" spans="1:11" x14ac:dyDescent="0.35">
      <c r="A348" s="5" t="s">
        <v>5</v>
      </c>
      <c r="B348" s="5" t="str">
        <f t="shared" si="171"/>
        <v>SPS4</v>
      </c>
      <c r="C348" s="5" t="s">
        <v>7</v>
      </c>
      <c r="D348" t="s">
        <v>647</v>
      </c>
      <c r="E348" t="str">
        <f t="shared" si="164"/>
        <v>PJ/yr.</v>
      </c>
      <c r="F348" s="1">
        <f t="shared" ref="F348:K348" si="197">F316-F332</f>
        <v>0</v>
      </c>
      <c r="G348" s="1">
        <f t="shared" si="197"/>
        <v>0</v>
      </c>
      <c r="H348" s="1">
        <f t="shared" si="197"/>
        <v>0</v>
      </c>
      <c r="I348" s="1">
        <f t="shared" si="197"/>
        <v>0</v>
      </c>
      <c r="J348" s="1">
        <f t="shared" si="197"/>
        <v>0</v>
      </c>
      <c r="K348" s="1">
        <f t="shared" si="197"/>
        <v>0</v>
      </c>
    </row>
    <row r="349" spans="1:11" x14ac:dyDescent="0.35">
      <c r="A349" s="5" t="s">
        <v>5</v>
      </c>
      <c r="B349" s="5" t="str">
        <f t="shared" si="171"/>
        <v>SPS4</v>
      </c>
      <c r="C349" s="5" t="s">
        <v>7</v>
      </c>
      <c r="D349" t="s">
        <v>648</v>
      </c>
      <c r="E349" t="str">
        <f t="shared" si="164"/>
        <v>PJ/yr.</v>
      </c>
      <c r="F349" s="1">
        <f t="shared" ref="F349:K349" si="198">F317-F333</f>
        <v>4.4160083693150706E-4</v>
      </c>
      <c r="G349" s="1">
        <f t="shared" si="198"/>
        <v>4.9733572793407912E-5</v>
      </c>
      <c r="H349" s="1">
        <f t="shared" si="198"/>
        <v>2.6699395334774806E-4</v>
      </c>
      <c r="I349" s="1">
        <f t="shared" si="198"/>
        <v>6.1404258247879998E-4</v>
      </c>
      <c r="J349" s="1">
        <f t="shared" si="198"/>
        <v>4.0798538827528695E-5</v>
      </c>
      <c r="K349" s="1">
        <f t="shared" si="198"/>
        <v>6.8774163835457749E-6</v>
      </c>
    </row>
    <row r="350" spans="1:11" x14ac:dyDescent="0.35">
      <c r="A350" s="5" t="s">
        <v>5</v>
      </c>
      <c r="B350" s="5" t="str">
        <f t="shared" si="171"/>
        <v>SPS4</v>
      </c>
      <c r="C350" s="5" t="s">
        <v>7</v>
      </c>
      <c r="D350" t="s">
        <v>649</v>
      </c>
      <c r="E350" t="str">
        <f t="shared" si="164"/>
        <v>PJ/yr.</v>
      </c>
      <c r="F350" s="1">
        <f t="shared" ref="F350:K350" si="199">F318-F334</f>
        <v>0</v>
      </c>
      <c r="G350" s="1">
        <f t="shared" si="199"/>
        <v>0</v>
      </c>
      <c r="H350" s="1">
        <f t="shared" si="199"/>
        <v>0</v>
      </c>
      <c r="I350" s="1">
        <f t="shared" si="199"/>
        <v>4.8795763650412243E-5</v>
      </c>
      <c r="J350" s="1">
        <f t="shared" si="199"/>
        <v>5.0133561248978664E-5</v>
      </c>
      <c r="K350" s="1">
        <f t="shared" si="199"/>
        <v>2.0336432448256813E-5</v>
      </c>
    </row>
    <row r="351" spans="1:11" x14ac:dyDescent="0.35">
      <c r="A351" s="5" t="s">
        <v>5</v>
      </c>
      <c r="B351" s="5" t="str">
        <f t="shared" si="171"/>
        <v>SPS4</v>
      </c>
      <c r="C351" s="5" t="s">
        <v>7</v>
      </c>
      <c r="D351" t="s">
        <v>650</v>
      </c>
      <c r="E351" t="str">
        <f t="shared" si="164"/>
        <v>PJ/yr.</v>
      </c>
      <c r="F351" s="1">
        <f t="shared" ref="F351:K351" si="200">F319-F335</f>
        <v>6.786771268815113E-4</v>
      </c>
      <c r="G351" s="1">
        <f t="shared" si="200"/>
        <v>5.2850729254452951E-5</v>
      </c>
      <c r="H351" s="1">
        <f t="shared" si="200"/>
        <v>4.032437498951635E-4</v>
      </c>
      <c r="I351" s="1">
        <f t="shared" si="200"/>
        <v>6.2166803457569864E-2</v>
      </c>
      <c r="J351" s="1">
        <f t="shared" si="200"/>
        <v>3.3814079304679057E-2</v>
      </c>
      <c r="K351" s="1">
        <f t="shared" si="200"/>
        <v>7.877245567698532E-3</v>
      </c>
    </row>
    <row r="352" spans="1:11" x14ac:dyDescent="0.35">
      <c r="A352" s="5" t="s">
        <v>5</v>
      </c>
      <c r="B352" s="5" t="str">
        <f t="shared" si="171"/>
        <v>SPS4</v>
      </c>
      <c r="C352" s="5" t="s">
        <v>7</v>
      </c>
      <c r="D352" t="s">
        <v>651</v>
      </c>
      <c r="E352" t="str">
        <f t="shared" si="164"/>
        <v>PJ/yr.</v>
      </c>
      <c r="F352" s="1">
        <f t="shared" ref="F352:K352" si="201">F320-F336</f>
        <v>0</v>
      </c>
      <c r="G352" s="1">
        <f t="shared" si="201"/>
        <v>0</v>
      </c>
      <c r="H352" s="1">
        <f t="shared" si="201"/>
        <v>0</v>
      </c>
      <c r="I352" s="1">
        <f t="shared" si="201"/>
        <v>2.2057749385073159E-4</v>
      </c>
      <c r="J352" s="1">
        <f t="shared" si="201"/>
        <v>3.9615927322858395E-4</v>
      </c>
      <c r="K352" s="1">
        <f t="shared" si="201"/>
        <v>3.738911678296919E-2</v>
      </c>
    </row>
    <row r="353" spans="1:15" x14ac:dyDescent="0.35">
      <c r="A353" s="5" t="s">
        <v>5</v>
      </c>
      <c r="B353" s="5" t="str">
        <f t="shared" si="171"/>
        <v>SPS4</v>
      </c>
      <c r="C353" s="5" t="s">
        <v>7</v>
      </c>
      <c r="D353" t="s">
        <v>652</v>
      </c>
      <c r="E353" t="str">
        <f t="shared" si="164"/>
        <v>PJ/yr.</v>
      </c>
      <c r="F353" s="1">
        <f t="shared" ref="F353:K353" si="202">F321-F337</f>
        <v>1.0647056350772977</v>
      </c>
      <c r="G353" s="1">
        <f t="shared" si="202"/>
        <v>1.2550459522664454</v>
      </c>
      <c r="H353" s="1">
        <f t="shared" si="202"/>
        <v>1.2999325793639986</v>
      </c>
      <c r="I353" s="1">
        <f t="shared" si="202"/>
        <v>1.3801490737175559</v>
      </c>
      <c r="J353" s="1">
        <f t="shared" si="202"/>
        <v>1.5448371213544241</v>
      </c>
      <c r="K353" s="1">
        <f t="shared" si="202"/>
        <v>1.5037393962368144</v>
      </c>
    </row>
    <row r="354" spans="1:15" x14ac:dyDescent="0.35">
      <c r="A354" s="5" t="s">
        <v>5</v>
      </c>
      <c r="B354" s="5" t="str">
        <f t="shared" si="171"/>
        <v>SPS4</v>
      </c>
      <c r="C354" s="5" t="s">
        <v>7</v>
      </c>
      <c r="D354" t="s">
        <v>653</v>
      </c>
      <c r="E354" t="str">
        <f t="shared" si="164"/>
        <v>PJ/yr.</v>
      </c>
      <c r="F354" s="1">
        <f t="shared" ref="F354:K354" si="203">F322-F338</f>
        <v>1.9441824899059323E-2</v>
      </c>
      <c r="G354" s="1">
        <f t="shared" si="203"/>
        <v>1.5810107358750103E-2</v>
      </c>
      <c r="H354" s="1">
        <f t="shared" si="203"/>
        <v>1.3771329102280107E-3</v>
      </c>
      <c r="I354" s="1">
        <f t="shared" si="203"/>
        <v>1.7414591121312807E-3</v>
      </c>
      <c r="J354" s="1">
        <f t="shared" si="203"/>
        <v>8.1137690032308252E-4</v>
      </c>
      <c r="K354" s="1">
        <f t="shared" si="203"/>
        <v>1.4933548218542137E-5</v>
      </c>
    </row>
    <row r="355" spans="1:15" x14ac:dyDescent="0.35">
      <c r="A355" s="5" t="s">
        <v>5</v>
      </c>
      <c r="B355" s="5" t="str">
        <f t="shared" si="171"/>
        <v>SPS4</v>
      </c>
      <c r="C355" s="5" t="s">
        <v>7</v>
      </c>
      <c r="D355" t="s">
        <v>654</v>
      </c>
      <c r="E355" t="str">
        <f t="shared" si="164"/>
        <v>PJ/yr.</v>
      </c>
      <c r="F355" s="1">
        <f t="shared" ref="F355:K355" si="204">F323-F339</f>
        <v>0</v>
      </c>
      <c r="G355" s="1">
        <f t="shared" si="204"/>
        <v>0</v>
      </c>
      <c r="H355" s="1">
        <f t="shared" si="204"/>
        <v>0</v>
      </c>
      <c r="I355" s="1">
        <f t="shared" si="204"/>
        <v>5.1221162536821191E-5</v>
      </c>
      <c r="J355" s="1">
        <f t="shared" si="204"/>
        <v>3.3286085364152632E-4</v>
      </c>
      <c r="K355" s="1">
        <f t="shared" si="204"/>
        <v>9.4623250361032696E-2</v>
      </c>
    </row>
    <row r="356" spans="1:15" x14ac:dyDescent="0.35">
      <c r="A356" s="5" t="s">
        <v>5</v>
      </c>
      <c r="B356" s="5" t="str">
        <f t="shared" si="171"/>
        <v>SPS4</v>
      </c>
      <c r="C356" s="5" t="s">
        <v>7</v>
      </c>
      <c r="D356" t="s">
        <v>854</v>
      </c>
      <c r="E356" t="str">
        <f t="shared" ref="E356:E406" si="205">E355</f>
        <v>PJ/yr.</v>
      </c>
      <c r="F356" s="1">
        <f>SUM(F357:F362)</f>
        <v>22.495515327962345</v>
      </c>
      <c r="G356" s="1">
        <f t="shared" ref="G356:K356" si="206">SUM(G357:G362)</f>
        <v>24.624303508978052</v>
      </c>
      <c r="H356" s="1">
        <f t="shared" si="206"/>
        <v>25.162746803185652</v>
      </c>
      <c r="I356" s="1">
        <f t="shared" si="206"/>
        <v>25.201704893785607</v>
      </c>
      <c r="J356" s="1">
        <f t="shared" si="206"/>
        <v>26.270210719584664</v>
      </c>
      <c r="K356" s="1">
        <f t="shared" si="206"/>
        <v>28.475745955172563</v>
      </c>
    </row>
    <row r="357" spans="1:15" x14ac:dyDescent="0.35">
      <c r="A357" s="5" t="s">
        <v>5</v>
      </c>
      <c r="B357" s="5" t="str">
        <f t="shared" si="171"/>
        <v>SPS4</v>
      </c>
      <c r="C357" s="5" t="s">
        <v>7</v>
      </c>
      <c r="D357" t="s">
        <v>113</v>
      </c>
      <c r="E357" t="str">
        <f t="shared" si="205"/>
        <v>PJ/yr.</v>
      </c>
      <c r="F357" s="1">
        <f>'[1]Electricity and CHPs_IN'!B$19</f>
        <v>18.203592015187258</v>
      </c>
      <c r="G357" s="1">
        <f>'[1]Electricity and CHPs_IN'!C$19</f>
        <v>20.429784953897649</v>
      </c>
      <c r="H357" s="1">
        <f>'[1]Electricity and CHPs_IN'!D$19</f>
        <v>20.735072549678556</v>
      </c>
      <c r="I357" s="1">
        <f>'[1]Electricity and CHPs_IN'!E$19</f>
        <v>20.696592088121555</v>
      </c>
      <c r="J357" s="1">
        <f>'[1]Electricity and CHPs_IN'!F$19</f>
        <v>21.451611052861157</v>
      </c>
      <c r="K357" s="1">
        <f>'[1]Electricity and CHPs_IN'!G$19</f>
        <v>22.473413444572166</v>
      </c>
      <c r="O357" s="1"/>
    </row>
    <row r="358" spans="1:15" x14ac:dyDescent="0.35">
      <c r="A358" s="5" t="s">
        <v>5</v>
      </c>
      <c r="B358" s="5" t="str">
        <f t="shared" si="171"/>
        <v>SPS4</v>
      </c>
      <c r="C358" s="5" t="s">
        <v>7</v>
      </c>
      <c r="D358" t="s">
        <v>114</v>
      </c>
      <c r="E358" t="str">
        <f t="shared" si="205"/>
        <v>PJ/yr.</v>
      </c>
      <c r="F358" s="1">
        <f>'[1]Electricity and CHPs_IN'!B$20</f>
        <v>0</v>
      </c>
      <c r="G358" s="1">
        <f>'[1]Electricity and CHPs_IN'!C$20</f>
        <v>0</v>
      </c>
      <c r="H358" s="1">
        <f>'[1]Electricity and CHPs_IN'!D$20</f>
        <v>0</v>
      </c>
      <c r="I358" s="1">
        <f>'[1]Electricity and CHPs_IN'!E$20</f>
        <v>0</v>
      </c>
      <c r="J358" s="1">
        <f>'[1]Electricity and CHPs_IN'!F$20</f>
        <v>0</v>
      </c>
      <c r="K358" s="1">
        <f>'[1]Electricity and CHPs_IN'!G$20</f>
        <v>0</v>
      </c>
      <c r="O358" s="1"/>
    </row>
    <row r="359" spans="1:15" x14ac:dyDescent="0.35">
      <c r="A359" s="5" t="s">
        <v>5</v>
      </c>
      <c r="B359" s="5" t="str">
        <f t="shared" si="171"/>
        <v>SPS4</v>
      </c>
      <c r="C359" s="5" t="s">
        <v>7</v>
      </c>
      <c r="D359" t="s">
        <v>115</v>
      </c>
      <c r="E359" t="str">
        <f t="shared" si="205"/>
        <v>PJ/yr.</v>
      </c>
      <c r="F359" s="1">
        <f>IFERROR(F131/SUM(F131,F196),0)*'[1]Electricity and CHPs_IN'!B$26</f>
        <v>3.8974768619544533</v>
      </c>
      <c r="G359" s="1">
        <f>IFERROR(G131/SUM(G131,G196),0)*'[1]Electricity and CHPs_IN'!C$26</f>
        <v>3.7853256130961555</v>
      </c>
      <c r="H359" s="1">
        <f>IFERROR(H131/SUM(H131,H196),0)*'[1]Electricity and CHPs_IN'!D$26</f>
        <v>3.7940097434437989</v>
      </c>
      <c r="I359" s="1">
        <f>IFERROR(I131/SUM(I131,I196),0)*'[1]Electricity and CHPs_IN'!E$26</f>
        <v>3.8107931158427553</v>
      </c>
      <c r="J359" s="1">
        <f>IFERROR(J131/SUM(J131,J196),0)*'[1]Electricity and CHPs_IN'!F$26</f>
        <v>3.9472081220672051</v>
      </c>
      <c r="K359" s="1">
        <f>IFERROR(K131/SUM(K131,K196),0)*'[1]Electricity and CHPs_IN'!G$26</f>
        <v>4.8112800081306926</v>
      </c>
    </row>
    <row r="360" spans="1:15" x14ac:dyDescent="0.35">
      <c r="A360" s="5" t="s">
        <v>5</v>
      </c>
      <c r="B360" s="5" t="str">
        <f t="shared" si="171"/>
        <v>SPS4</v>
      </c>
      <c r="C360" s="5" t="s">
        <v>7</v>
      </c>
      <c r="D360" t="s">
        <v>116</v>
      </c>
      <c r="E360" t="str">
        <f t="shared" si="205"/>
        <v>PJ/yr.</v>
      </c>
      <c r="F360" s="1">
        <f>IFERROR(F132/SUM(F132,F197),0)*'[1]Electricity and CHPs_IN'!B$27</f>
        <v>0</v>
      </c>
      <c r="G360" s="1">
        <f>IFERROR(G132/SUM(G132,G197),0)*'[1]Electricity and CHPs_IN'!C$27</f>
        <v>0</v>
      </c>
      <c r="H360" s="1">
        <f>IFERROR(H132/SUM(H132,H197),0)*'[1]Electricity and CHPs_IN'!D$27</f>
        <v>0</v>
      </c>
      <c r="I360" s="1">
        <f>IFERROR(I132/SUM(I132,I197),0)*'[1]Electricity and CHPs_IN'!E$27</f>
        <v>0</v>
      </c>
      <c r="J360" s="1">
        <f>IFERROR(J132/SUM(J132,J197),0)*'[1]Electricity and CHPs_IN'!F$27</f>
        <v>0</v>
      </c>
      <c r="K360" s="1">
        <f>IFERROR(K132/SUM(K132,K197),0)*'[1]Electricity and CHPs_IN'!G$27</f>
        <v>0</v>
      </c>
    </row>
    <row r="361" spans="1:15" x14ac:dyDescent="0.35">
      <c r="A361" s="5" t="s">
        <v>5</v>
      </c>
      <c r="B361" s="5" t="str">
        <f t="shared" si="171"/>
        <v>SPS4</v>
      </c>
      <c r="C361" s="5" t="s">
        <v>7</v>
      </c>
      <c r="D361" t="s">
        <v>117</v>
      </c>
      <c r="E361" t="str">
        <f t="shared" si="205"/>
        <v>PJ/yr.</v>
      </c>
      <c r="F361" s="1">
        <f>IFERROR(F133/SUM(F133,F272),0)*'[1]Electricity and CHPs_IN'!B$44</f>
        <v>0.39444645082063451</v>
      </c>
      <c r="G361" s="1">
        <f>IFERROR(G133/SUM(G133,G272),0)*'[1]Electricity and CHPs_IN'!C$44</f>
        <v>0.40919294198424888</v>
      </c>
      <c r="H361" s="1">
        <f>IFERROR(H133/SUM(H133,H272),0)*'[1]Electricity and CHPs_IN'!D$44</f>
        <v>0.6336645100632976</v>
      </c>
      <c r="I361" s="1">
        <f>IFERROR(I133/SUM(I133,I272),0)*'[1]Electricity and CHPs_IN'!E$44</f>
        <v>0.69431968982129544</v>
      </c>
      <c r="J361" s="1">
        <f>IFERROR(J133/SUM(J133,J272),0)*'[1]Electricity and CHPs_IN'!F$44</f>
        <v>0.87139154465630198</v>
      </c>
      <c r="K361" s="1">
        <f>IFERROR(K133/SUM(K133,K272),0)*'[1]Electricity and CHPs_IN'!G$44</f>
        <v>1.1910525024697007</v>
      </c>
    </row>
    <row r="362" spans="1:15" x14ac:dyDescent="0.35">
      <c r="A362" s="5" t="s">
        <v>5</v>
      </c>
      <c r="B362" s="5" t="str">
        <f t="shared" si="171"/>
        <v>SPS4</v>
      </c>
      <c r="C362" s="5" t="s">
        <v>7</v>
      </c>
      <c r="D362" t="s">
        <v>118</v>
      </c>
      <c r="E362" t="str">
        <f t="shared" si="205"/>
        <v>PJ/yr.</v>
      </c>
      <c r="F362" s="1">
        <f>IFERROR(F134/SUM(F134,F273),0)*'[1]Electricity and CHPs_IN'!B$45</f>
        <v>0</v>
      </c>
      <c r="G362" s="1">
        <f>IFERROR(G134/SUM(G134,G273),0)*'[1]Electricity and CHPs_IN'!C$45</f>
        <v>0</v>
      </c>
      <c r="H362" s="1">
        <f>IFERROR(H134/SUM(H134,H273),0)*'[1]Electricity and CHPs_IN'!D$45</f>
        <v>0</v>
      </c>
      <c r="I362" s="1">
        <f>IFERROR(I134/SUM(I134,I273),0)*'[1]Electricity and CHPs_IN'!E$45</f>
        <v>0</v>
      </c>
      <c r="J362" s="1">
        <f>IFERROR(J134/SUM(J134,J273),0)*'[1]Electricity and CHPs_IN'!F$45</f>
        <v>0</v>
      </c>
      <c r="K362" s="1">
        <f>IFERROR(K134/SUM(K134,K273),0)*'[1]Electricity and CHPs_IN'!G$45</f>
        <v>0</v>
      </c>
      <c r="O362" s="4"/>
    </row>
    <row r="363" spans="1:15" x14ac:dyDescent="0.35">
      <c r="A363" s="5" t="s">
        <v>5</v>
      </c>
      <c r="B363" s="5" t="str">
        <f t="shared" si="171"/>
        <v>SPS4</v>
      </c>
      <c r="C363" s="5" t="s">
        <v>7</v>
      </c>
      <c r="D363" t="s">
        <v>855</v>
      </c>
      <c r="E363" t="str">
        <f t="shared" si="205"/>
        <v>PJ/yr.</v>
      </c>
      <c r="F363" s="1">
        <f>SUM(F364:F367)</f>
        <v>11.050534438570853</v>
      </c>
      <c r="G363" s="1">
        <f t="shared" ref="G363:K363" si="207">SUM(G364:G367)</f>
        <v>12.107555283496902</v>
      </c>
      <c r="H363" s="1">
        <f t="shared" si="207"/>
        <v>12.264541146561175</v>
      </c>
      <c r="I363" s="1">
        <f t="shared" si="207"/>
        <v>12.253692601982157</v>
      </c>
      <c r="J363" s="1">
        <f t="shared" si="207"/>
        <v>12.699409587464181</v>
      </c>
      <c r="K363" s="1">
        <f t="shared" si="207"/>
        <v>13.64234672635143</v>
      </c>
      <c r="O363" s="7"/>
    </row>
    <row r="364" spans="1:15" x14ac:dyDescent="0.35">
      <c r="A364" s="5" t="s">
        <v>5</v>
      </c>
      <c r="B364" s="5" t="str">
        <f t="shared" si="171"/>
        <v>SPS4</v>
      </c>
      <c r="C364" s="5" t="s">
        <v>7</v>
      </c>
      <c r="D364" t="s">
        <v>119</v>
      </c>
      <c r="E364" t="str">
        <f t="shared" si="205"/>
        <v>PJ/yr.</v>
      </c>
      <c r="F364" s="1">
        <f>F357*IFERROR(F136/F129,0)</f>
        <v>9.1017960075936273</v>
      </c>
      <c r="G364" s="1">
        <f t="shared" ref="G364:K364" si="208">G357*IFERROR(G136/G129,0)</f>
        <v>10.214892476948824</v>
      </c>
      <c r="H364" s="1">
        <f t="shared" si="208"/>
        <v>10.367536274839276</v>
      </c>
      <c r="I364" s="1">
        <f t="shared" si="208"/>
        <v>10.348296044060779</v>
      </c>
      <c r="J364" s="1">
        <f t="shared" si="208"/>
        <v>10.725805526430578</v>
      </c>
      <c r="K364" s="1">
        <f t="shared" si="208"/>
        <v>11.236706722286083</v>
      </c>
      <c r="O364" s="1"/>
    </row>
    <row r="365" spans="1:15" x14ac:dyDescent="0.35">
      <c r="A365" s="5" t="s">
        <v>5</v>
      </c>
      <c r="B365" s="5" t="str">
        <f t="shared" si="171"/>
        <v>SPS4</v>
      </c>
      <c r="C365" s="5" t="s">
        <v>7</v>
      </c>
      <c r="D365" t="s">
        <v>120</v>
      </c>
      <c r="E365" t="str">
        <f t="shared" si="205"/>
        <v>PJ/yr.</v>
      </c>
      <c r="F365" s="1">
        <f t="shared" ref="F365:K365" si="209">F358*IFERROR(F137/F130,0)</f>
        <v>0</v>
      </c>
      <c r="G365" s="1">
        <f t="shared" si="209"/>
        <v>0</v>
      </c>
      <c r="H365" s="1">
        <f t="shared" si="209"/>
        <v>0</v>
      </c>
      <c r="I365" s="1">
        <f t="shared" si="209"/>
        <v>0</v>
      </c>
      <c r="J365" s="1">
        <f t="shared" si="209"/>
        <v>0</v>
      </c>
      <c r="K365" s="1">
        <f t="shared" si="209"/>
        <v>0</v>
      </c>
    </row>
    <row r="366" spans="1:15" x14ac:dyDescent="0.35">
      <c r="A366" s="5" t="s">
        <v>5</v>
      </c>
      <c r="B366" s="5" t="str">
        <f t="shared" si="171"/>
        <v>SPS4</v>
      </c>
      <c r="C366" s="5" t="s">
        <v>7</v>
      </c>
      <c r="D366" t="s">
        <v>121</v>
      </c>
      <c r="E366" t="str">
        <f t="shared" si="205"/>
        <v>PJ/yr.</v>
      </c>
      <c r="F366" s="1">
        <f t="shared" ref="F366:K366" si="210">F359*IFERROR(F138/F131,0)</f>
        <v>1.9487384309772264</v>
      </c>
      <c r="G366" s="1">
        <f t="shared" si="210"/>
        <v>1.8926628065480782</v>
      </c>
      <c r="H366" s="1">
        <f t="shared" si="210"/>
        <v>1.8970048717218995</v>
      </c>
      <c r="I366" s="1">
        <f t="shared" si="210"/>
        <v>1.9053965579213776</v>
      </c>
      <c r="J366" s="1">
        <f t="shared" si="210"/>
        <v>1.9736040610336025</v>
      </c>
      <c r="K366" s="1">
        <f t="shared" si="210"/>
        <v>2.4056400040653467</v>
      </c>
    </row>
    <row r="367" spans="1:15" x14ac:dyDescent="0.35">
      <c r="A367" s="5" t="s">
        <v>5</v>
      </c>
      <c r="B367" s="5" t="str">
        <f t="shared" si="171"/>
        <v>SPS4</v>
      </c>
      <c r="C367" s="5" t="s">
        <v>7</v>
      </c>
      <c r="D367" t="s">
        <v>122</v>
      </c>
      <c r="E367" t="str">
        <f t="shared" si="205"/>
        <v>PJ/yr.</v>
      </c>
      <c r="F367" s="1">
        <f t="shared" ref="F367:K367" si="211">F360*IFERROR(F139/F132,0)</f>
        <v>0</v>
      </c>
      <c r="G367" s="1">
        <f t="shared" si="211"/>
        <v>0</v>
      </c>
      <c r="H367" s="1">
        <f t="shared" si="211"/>
        <v>0</v>
      </c>
      <c r="I367" s="1">
        <f t="shared" si="211"/>
        <v>0</v>
      </c>
      <c r="J367" s="1">
        <f t="shared" si="211"/>
        <v>0</v>
      </c>
      <c r="K367" s="1">
        <f t="shared" si="211"/>
        <v>0</v>
      </c>
    </row>
    <row r="368" spans="1:15" x14ac:dyDescent="0.35">
      <c r="A368" s="5" t="s">
        <v>5</v>
      </c>
      <c r="B368" s="5" t="str">
        <f t="shared" si="171"/>
        <v>SPS4</v>
      </c>
      <c r="C368" s="5" t="s">
        <v>7</v>
      </c>
      <c r="D368" t="s">
        <v>123</v>
      </c>
      <c r="E368" t="str">
        <f t="shared" si="205"/>
        <v>PJ/yr.</v>
      </c>
      <c r="F368" s="1">
        <f t="shared" ref="F368:K368" si="212">F361*IFERROR(F140/F133,0)</f>
        <v>0</v>
      </c>
      <c r="G368" s="1">
        <f t="shared" si="212"/>
        <v>0</v>
      </c>
      <c r="H368" s="1">
        <f t="shared" si="212"/>
        <v>0</v>
      </c>
      <c r="I368" s="1">
        <f t="shared" si="212"/>
        <v>0</v>
      </c>
      <c r="J368" s="1">
        <f t="shared" si="212"/>
        <v>0</v>
      </c>
      <c r="K368" s="1">
        <f t="shared" si="212"/>
        <v>0</v>
      </c>
    </row>
    <row r="369" spans="1:15" x14ac:dyDescent="0.35">
      <c r="A369" s="5" t="s">
        <v>5</v>
      </c>
      <c r="B369" s="5" t="str">
        <f t="shared" si="171"/>
        <v>SPS4</v>
      </c>
      <c r="C369" s="5" t="s">
        <v>7</v>
      </c>
      <c r="D369" t="s">
        <v>124</v>
      </c>
      <c r="E369" t="str">
        <f t="shared" si="205"/>
        <v>PJ/yr.</v>
      </c>
      <c r="F369" s="1">
        <f t="shared" ref="F369:K369" si="213">F362*IFERROR(F141/F134,0)</f>
        <v>0</v>
      </c>
      <c r="G369" s="1">
        <f t="shared" si="213"/>
        <v>0</v>
      </c>
      <c r="H369" s="1">
        <f t="shared" si="213"/>
        <v>0</v>
      </c>
      <c r="I369" s="1">
        <f t="shared" si="213"/>
        <v>0</v>
      </c>
      <c r="J369" s="1">
        <f t="shared" si="213"/>
        <v>0</v>
      </c>
      <c r="K369" s="1">
        <f t="shared" si="213"/>
        <v>0</v>
      </c>
    </row>
    <row r="370" spans="1:15" x14ac:dyDescent="0.35">
      <c r="A370" s="5" t="s">
        <v>5</v>
      </c>
      <c r="B370" s="5" t="str">
        <f t="shared" si="171"/>
        <v>SPS4</v>
      </c>
      <c r="C370" s="5" t="s">
        <v>7</v>
      </c>
      <c r="D370" t="s">
        <v>856</v>
      </c>
      <c r="E370" t="str">
        <f t="shared" si="205"/>
        <v>PJ/yr.</v>
      </c>
      <c r="F370" s="1">
        <f>SUM(F371:F376)</f>
        <v>11.444980889391491</v>
      </c>
      <c r="G370" s="1">
        <f t="shared" ref="G370:K370" si="214">SUM(G371:G376)</f>
        <v>12.516748225481152</v>
      </c>
      <c r="H370" s="1">
        <f t="shared" si="214"/>
        <v>12.898205656624475</v>
      </c>
      <c r="I370" s="1">
        <f t="shared" si="214"/>
        <v>12.948012291803451</v>
      </c>
      <c r="J370" s="1">
        <f t="shared" si="214"/>
        <v>13.570801132120483</v>
      </c>
      <c r="K370" s="1">
        <f t="shared" si="214"/>
        <v>14.833399228821129</v>
      </c>
      <c r="M370" s="1"/>
      <c r="N370" s="1"/>
      <c r="O370" s="1"/>
    </row>
    <row r="371" spans="1:15" x14ac:dyDescent="0.35">
      <c r="A371" s="5" t="s">
        <v>5</v>
      </c>
      <c r="B371" s="5" t="str">
        <f t="shared" si="171"/>
        <v>SPS4</v>
      </c>
      <c r="C371" s="5" t="s">
        <v>7</v>
      </c>
      <c r="D371" t="s">
        <v>125</v>
      </c>
      <c r="E371" t="str">
        <f t="shared" si="205"/>
        <v>PJ/yr.</v>
      </c>
      <c r="F371" s="1">
        <f t="shared" ref="F371:K371" si="215">F364*IFERROR(F143/F136,0)</f>
        <v>9.1017960075936291</v>
      </c>
      <c r="G371" s="1">
        <f t="shared" si="215"/>
        <v>10.214892476948824</v>
      </c>
      <c r="H371" s="1">
        <f t="shared" si="215"/>
        <v>10.367536274839278</v>
      </c>
      <c r="I371" s="1">
        <f t="shared" si="215"/>
        <v>10.348296044060778</v>
      </c>
      <c r="J371" s="1">
        <f t="shared" si="215"/>
        <v>10.725805526430578</v>
      </c>
      <c r="K371" s="1">
        <f t="shared" si="215"/>
        <v>11.236706722286083</v>
      </c>
      <c r="M371" s="1"/>
      <c r="N371" s="1"/>
      <c r="O371" s="1"/>
    </row>
    <row r="372" spans="1:15" x14ac:dyDescent="0.35">
      <c r="A372" s="5" t="s">
        <v>5</v>
      </c>
      <c r="B372" s="5" t="str">
        <f t="shared" ref="B372:B435" si="216">B371</f>
        <v>SPS4</v>
      </c>
      <c r="C372" s="5" t="s">
        <v>7</v>
      </c>
      <c r="D372" t="s">
        <v>126</v>
      </c>
      <c r="E372" t="str">
        <f t="shared" si="205"/>
        <v>PJ/yr.</v>
      </c>
      <c r="F372" s="1">
        <f t="shared" ref="F372:K372" si="217">F365*IFERROR(F144/F137,0)</f>
        <v>0</v>
      </c>
      <c r="G372" s="1">
        <f t="shared" si="217"/>
        <v>0</v>
      </c>
      <c r="H372" s="1">
        <f t="shared" si="217"/>
        <v>0</v>
      </c>
      <c r="I372" s="1">
        <f t="shared" si="217"/>
        <v>0</v>
      </c>
      <c r="J372" s="1">
        <f t="shared" si="217"/>
        <v>0</v>
      </c>
      <c r="K372" s="1">
        <f t="shared" si="217"/>
        <v>0</v>
      </c>
    </row>
    <row r="373" spans="1:15" x14ac:dyDescent="0.35">
      <c r="A373" s="5" t="s">
        <v>5</v>
      </c>
      <c r="B373" s="5" t="str">
        <f t="shared" si="216"/>
        <v>SPS4</v>
      </c>
      <c r="C373" s="5" t="s">
        <v>7</v>
      </c>
      <c r="D373" t="s">
        <v>127</v>
      </c>
      <c r="E373" t="str">
        <f t="shared" si="205"/>
        <v>PJ/yr.</v>
      </c>
      <c r="F373" s="1">
        <f t="shared" ref="F373:K373" si="218">F366*IFERROR(F145/F138,0)</f>
        <v>1.9487384309772269</v>
      </c>
      <c r="G373" s="1">
        <f t="shared" si="218"/>
        <v>1.8926628065480775</v>
      </c>
      <c r="H373" s="1">
        <f t="shared" si="218"/>
        <v>1.8970048717218995</v>
      </c>
      <c r="I373" s="1">
        <f t="shared" si="218"/>
        <v>1.9053965579213776</v>
      </c>
      <c r="J373" s="1">
        <f t="shared" si="218"/>
        <v>1.9736040610336025</v>
      </c>
      <c r="K373" s="1">
        <f t="shared" si="218"/>
        <v>2.4056400040653458</v>
      </c>
    </row>
    <row r="374" spans="1:15" x14ac:dyDescent="0.35">
      <c r="A374" s="5" t="s">
        <v>5</v>
      </c>
      <c r="B374" s="5" t="str">
        <f t="shared" si="216"/>
        <v>SPS4</v>
      </c>
      <c r="C374" s="5" t="s">
        <v>7</v>
      </c>
      <c r="D374" t="s">
        <v>128</v>
      </c>
      <c r="E374" t="str">
        <f t="shared" si="205"/>
        <v>PJ/yr.</v>
      </c>
      <c r="F374" s="1">
        <f t="shared" ref="F374:K374" si="219">F367*IFERROR(F146/F139,0)</f>
        <v>0</v>
      </c>
      <c r="G374" s="1">
        <f t="shared" si="219"/>
        <v>0</v>
      </c>
      <c r="H374" s="1">
        <f t="shared" si="219"/>
        <v>0</v>
      </c>
      <c r="I374" s="1">
        <f t="shared" si="219"/>
        <v>0</v>
      </c>
      <c r="J374" s="1">
        <f t="shared" si="219"/>
        <v>0</v>
      </c>
      <c r="K374" s="1">
        <f t="shared" si="219"/>
        <v>0</v>
      </c>
    </row>
    <row r="375" spans="1:15" x14ac:dyDescent="0.35">
      <c r="A375" s="5" t="s">
        <v>5</v>
      </c>
      <c r="B375" s="5" t="str">
        <f t="shared" si="216"/>
        <v>SPS4</v>
      </c>
      <c r="C375" s="5" t="s">
        <v>7</v>
      </c>
      <c r="D375" t="s">
        <v>129</v>
      </c>
      <c r="E375" t="str">
        <f t="shared" si="205"/>
        <v>PJ/yr.</v>
      </c>
      <c r="F375" s="1">
        <f>F361</f>
        <v>0.39444645082063451</v>
      </c>
      <c r="G375" s="1">
        <f t="shared" ref="G375:K375" si="220">G361</f>
        <v>0.40919294198424888</v>
      </c>
      <c r="H375" s="1">
        <f t="shared" si="220"/>
        <v>0.6336645100632976</v>
      </c>
      <c r="I375" s="1">
        <f t="shared" si="220"/>
        <v>0.69431968982129544</v>
      </c>
      <c r="J375" s="1">
        <f t="shared" si="220"/>
        <v>0.87139154465630198</v>
      </c>
      <c r="K375" s="1">
        <f t="shared" si="220"/>
        <v>1.1910525024697007</v>
      </c>
    </row>
    <row r="376" spans="1:15" x14ac:dyDescent="0.35">
      <c r="A376" s="5" t="s">
        <v>5</v>
      </c>
      <c r="B376" s="5" t="str">
        <f t="shared" si="216"/>
        <v>SPS4</v>
      </c>
      <c r="C376" s="5" t="s">
        <v>7</v>
      </c>
      <c r="D376" t="s">
        <v>130</v>
      </c>
      <c r="E376" t="str">
        <f t="shared" si="205"/>
        <v>PJ/yr.</v>
      </c>
      <c r="F376" s="1">
        <f t="shared" ref="F376:K376" si="221">F362</f>
        <v>0</v>
      </c>
      <c r="G376" s="1">
        <f t="shared" si="221"/>
        <v>0</v>
      </c>
      <c r="H376" s="1">
        <f t="shared" si="221"/>
        <v>0</v>
      </c>
      <c r="I376" s="1">
        <f t="shared" si="221"/>
        <v>0</v>
      </c>
      <c r="J376" s="1">
        <f t="shared" si="221"/>
        <v>0</v>
      </c>
      <c r="K376" s="1">
        <f t="shared" si="221"/>
        <v>0</v>
      </c>
    </row>
    <row r="377" spans="1:15" x14ac:dyDescent="0.35">
      <c r="A377" s="5" t="s">
        <v>5</v>
      </c>
      <c r="B377" s="5" t="str">
        <f t="shared" si="216"/>
        <v>SPS4</v>
      </c>
      <c r="C377" s="5" t="s">
        <v>7</v>
      </c>
      <c r="D377" t="s">
        <v>857</v>
      </c>
      <c r="E377" t="str">
        <f t="shared" si="205"/>
        <v>PJ/yr.</v>
      </c>
      <c r="F377" s="1">
        <f>SUM(F378:F384)</f>
        <v>0.59655225773402232</v>
      </c>
      <c r="G377" s="1">
        <f t="shared" ref="G377:K377" si="222">SUM(G378:G384)</f>
        <v>0.56205169929835763</v>
      </c>
      <c r="H377" s="1">
        <f t="shared" si="222"/>
        <v>1.1394546504166772</v>
      </c>
      <c r="I377" s="1">
        <f t="shared" si="222"/>
        <v>2.4915279263129202</v>
      </c>
      <c r="J377" s="1">
        <f t="shared" si="222"/>
        <v>4.1194827587371288</v>
      </c>
      <c r="K377" s="1">
        <f t="shared" si="222"/>
        <v>5.1988436631178674</v>
      </c>
    </row>
    <row r="378" spans="1:15" x14ac:dyDescent="0.35">
      <c r="A378" s="5" t="s">
        <v>5</v>
      </c>
      <c r="B378" s="5" t="str">
        <f t="shared" si="216"/>
        <v>SPS4</v>
      </c>
      <c r="C378" s="5" t="s">
        <v>7</v>
      </c>
      <c r="D378" t="s">
        <v>131</v>
      </c>
      <c r="E378" t="str">
        <f t="shared" si="205"/>
        <v>PJ/yr.</v>
      </c>
      <c r="F378" s="1">
        <f>IFERROR(F150/SUM(F150,F205),0)*'[1]Electricity and CHPs_IN'!B$25</f>
        <v>0.41562054289069617</v>
      </c>
      <c r="G378" s="1">
        <f>IFERROR(G150/SUM(G150,G205),0)*'[1]Electricity and CHPs_IN'!C$25</f>
        <v>4.671658636624771E-2</v>
      </c>
      <c r="H378" s="1">
        <f>IFERROR(H150/SUM(H150,H205),0)*'[1]Electricity and CHPs_IN'!D$25</f>
        <v>7.9053483541795576E-6</v>
      </c>
      <c r="I378" s="1">
        <f>IFERROR(I150/SUM(I150,I205),0)*'[1]Electricity and CHPs_IN'!E$25</f>
        <v>1.0199997685536681</v>
      </c>
      <c r="J378" s="1">
        <f>IFERROR(J150/SUM(J150,J205),0)*'[1]Electricity and CHPs_IN'!F$25</f>
        <v>1.417305404689251</v>
      </c>
      <c r="K378" s="1">
        <f>IFERROR(K150/SUM(K150,K205),0)*'[1]Electricity and CHPs_IN'!G$25</f>
        <v>1.7856702693126003</v>
      </c>
    </row>
    <row r="379" spans="1:15" x14ac:dyDescent="0.35">
      <c r="A379" s="5" t="s">
        <v>5</v>
      </c>
      <c r="B379" s="5" t="str">
        <f t="shared" si="216"/>
        <v>SPS4</v>
      </c>
      <c r="C379" s="5" t="s">
        <v>7</v>
      </c>
      <c r="D379" t="s">
        <v>132</v>
      </c>
      <c r="E379" t="str">
        <f t="shared" si="205"/>
        <v>PJ/yr.</v>
      </c>
      <c r="F379" s="1">
        <f>'[1]Electricity and CHPs_IN'!B$31</f>
        <v>0</v>
      </c>
      <c r="G379" s="1">
        <f>'[1]Electricity and CHPs_IN'!C$31</f>
        <v>0</v>
      </c>
      <c r="H379" s="1">
        <f>'[1]Electricity and CHPs_IN'!D$31</f>
        <v>0</v>
      </c>
      <c r="I379" s="1">
        <f>'[1]Electricity and CHPs_IN'!E$31</f>
        <v>0</v>
      </c>
      <c r="J379" s="1">
        <f>'[1]Electricity and CHPs_IN'!F$31</f>
        <v>2.0693165781837056E-4</v>
      </c>
      <c r="K379" s="1">
        <f>'[1]Electricity and CHPs_IN'!G$31</f>
        <v>1.2350682599485892E-4</v>
      </c>
    </row>
    <row r="380" spans="1:15" x14ac:dyDescent="0.35">
      <c r="A380" s="5" t="s">
        <v>5</v>
      </c>
      <c r="B380" s="5" t="str">
        <f t="shared" si="216"/>
        <v>SPS4</v>
      </c>
      <c r="C380" s="5" t="s">
        <v>7</v>
      </c>
      <c r="D380" t="s">
        <v>133</v>
      </c>
      <c r="E380" t="str">
        <f t="shared" si="205"/>
        <v>PJ/yr.</v>
      </c>
      <c r="F380" s="1">
        <f>IFERROR(F152/SUM(F152,F281),0)*'[1]Electricity and CHPs_IN'!B$42</f>
        <v>0.18093171484332612</v>
      </c>
      <c r="G380" s="1">
        <f>IFERROR(G152/SUM(G152,G281),0)*'[1]Electricity and CHPs_IN'!C$42</f>
        <v>0.51533511293210987</v>
      </c>
      <c r="H380" s="1">
        <f>IFERROR(H152/SUM(H152,H281),0)*'[1]Electricity and CHPs_IN'!D$42</f>
        <v>1.139446745068323</v>
      </c>
      <c r="I380" s="1">
        <f>IFERROR(I152/SUM(I152,I281),0)*'[1]Electricity and CHPs_IN'!E$42</f>
        <v>1.4683481934059417</v>
      </c>
      <c r="J380" s="1">
        <f>IFERROR(J152/SUM(J152,J281),0)*'[1]Electricity and CHPs_IN'!F$42</f>
        <v>2.6995306198796039</v>
      </c>
      <c r="K380" s="1">
        <f>IFERROR(K152/SUM(K152,K281),0)*'[1]Electricity and CHPs_IN'!G$42</f>
        <v>3.4120988450811636</v>
      </c>
    </row>
    <row r="381" spans="1:15" x14ac:dyDescent="0.35">
      <c r="A381" s="5" t="s">
        <v>5</v>
      </c>
      <c r="B381" s="5" t="str">
        <f t="shared" si="216"/>
        <v>SPS4</v>
      </c>
      <c r="C381" s="5" t="s">
        <v>7</v>
      </c>
      <c r="D381" t="s">
        <v>134</v>
      </c>
      <c r="E381" t="str">
        <f t="shared" si="205"/>
        <v>PJ/yr.</v>
      </c>
      <c r="F381" s="1">
        <f>IFERROR(F153/SUM(F153,F282),0)*'[1]Electricity and CHPs_IN'!B$43</f>
        <v>0</v>
      </c>
      <c r="G381" s="1">
        <f>IFERROR(G153/SUM(G153,G282),0)*'[1]Electricity and CHPs_IN'!C$43</f>
        <v>0</v>
      </c>
      <c r="H381" s="1">
        <f>IFERROR(H153/SUM(H153,H282),0)*'[1]Electricity and CHPs_IN'!D$43</f>
        <v>0</v>
      </c>
      <c r="I381" s="1">
        <f>IFERROR(I153/SUM(I153,I282),0)*'[1]Electricity and CHPs_IN'!E$43</f>
        <v>0</v>
      </c>
      <c r="J381" s="1">
        <f>IFERROR(J153/SUM(J153,J282),0)*'[1]Electricity and CHPs_IN'!F$43</f>
        <v>0</v>
      </c>
      <c r="K381" s="1">
        <f>IFERROR(K153/SUM(K153,K282),0)*'[1]Electricity and CHPs_IN'!G$43</f>
        <v>0</v>
      </c>
    </row>
    <row r="382" spans="1:15" x14ac:dyDescent="0.35">
      <c r="A382" s="5" t="s">
        <v>5</v>
      </c>
      <c r="B382" s="5" t="str">
        <f t="shared" si="216"/>
        <v>SPS4</v>
      </c>
      <c r="C382" s="5" t="s">
        <v>7</v>
      </c>
      <c r="D382" t="s">
        <v>135</v>
      </c>
      <c r="E382" t="str">
        <f t="shared" si="205"/>
        <v>PJ/yr.</v>
      </c>
      <c r="F382" s="1">
        <f>IFERROR(F154/SUM(F283,F154),0)*'[1]Electricity and CHPs_IN'!B$50</f>
        <v>0</v>
      </c>
      <c r="G382" s="1">
        <f>IFERROR(G154/SUM(G283,G154),0)*'[1]Electricity and CHPs_IN'!C$50</f>
        <v>0</v>
      </c>
      <c r="H382" s="1">
        <f>IFERROR(H154/SUM(H283,H154),0)*'[1]Electricity and CHPs_IN'!D$50</f>
        <v>0</v>
      </c>
      <c r="I382" s="1">
        <f>IFERROR(I154/SUM(I283,I154),0)*'[1]Electricity and CHPs_IN'!E$50</f>
        <v>6.4526390246929198E-4</v>
      </c>
      <c r="J382" s="1">
        <f>IFERROR(J154/SUM(J283,J154),0)*'[1]Electricity and CHPs_IN'!F$50</f>
        <v>4.4054515019991872E-4</v>
      </c>
      <c r="K382" s="1">
        <f>IFERROR(K154/SUM(K283,K154),0)*'[1]Electricity and CHPs_IN'!G$50</f>
        <v>1.7621249429135318E-4</v>
      </c>
    </row>
    <row r="383" spans="1:15" x14ac:dyDescent="0.35">
      <c r="A383" s="5" t="s">
        <v>5</v>
      </c>
      <c r="B383" s="5" t="str">
        <f t="shared" si="216"/>
        <v>SPS4</v>
      </c>
      <c r="C383" s="5" t="s">
        <v>7</v>
      </c>
      <c r="D383" t="s">
        <v>136</v>
      </c>
      <c r="E383" t="str">
        <f t="shared" si="205"/>
        <v>PJ/yr.</v>
      </c>
      <c r="F383" s="1">
        <f>IFERROR(F155/SUM(F284,F155),0)*'[1]Electricity and CHPs_IN'!B$53</f>
        <v>0</v>
      </c>
      <c r="G383" s="1">
        <f>IFERROR(G155/SUM(G284,G155),0)*'[1]Electricity and CHPs_IN'!C$53</f>
        <v>0</v>
      </c>
      <c r="H383" s="1">
        <f>IFERROR(H155/SUM(H284,H155),0)*'[1]Electricity and CHPs_IN'!D$53</f>
        <v>0</v>
      </c>
      <c r="I383" s="1">
        <f>IFERROR(I155/SUM(I284,I155),0)*'[1]Electricity and CHPs_IN'!E$53</f>
        <v>1.4246985267758368E-3</v>
      </c>
      <c r="J383" s="1">
        <f>IFERROR(J155/SUM(J284,J155),0)*'[1]Electricity and CHPs_IN'!F$53</f>
        <v>7.1533382333142752E-4</v>
      </c>
      <c r="K383" s="1">
        <f>IFERROR(K155/SUM(K284,K155),0)*'[1]Electricity and CHPs_IN'!G$53</f>
        <v>2.5749430014762695E-4</v>
      </c>
    </row>
    <row r="384" spans="1:15" x14ac:dyDescent="0.35">
      <c r="A384" s="5" t="s">
        <v>5</v>
      </c>
      <c r="B384" s="5" t="str">
        <f t="shared" si="216"/>
        <v>SPS4</v>
      </c>
      <c r="C384" s="5" t="s">
        <v>7</v>
      </c>
      <c r="D384" t="s">
        <v>294</v>
      </c>
      <c r="E384" t="str">
        <f t="shared" si="205"/>
        <v>PJ/yr.</v>
      </c>
      <c r="F384" s="1">
        <f>IFERROR(F156/SUM(F285,F156),0)*'[1]Electricity and CHPs_IN'!B$56</f>
        <v>0</v>
      </c>
      <c r="G384" s="1">
        <f>IFERROR(G156/SUM(G285,G156),0)*'[1]Electricity and CHPs_IN'!C$56</f>
        <v>0</v>
      </c>
      <c r="H384" s="1">
        <f>IFERROR(H156/SUM(H285,H156),0)*'[1]Electricity and CHPs_IN'!D$56</f>
        <v>0</v>
      </c>
      <c r="I384" s="1">
        <f>IFERROR(I156/SUM(I285,I156),0)*'[1]Electricity and CHPs_IN'!E$56</f>
        <v>1.110001924065553E-3</v>
      </c>
      <c r="J384" s="1">
        <f>IFERROR(J156/SUM(J285,J156),0)*'[1]Electricity and CHPs_IN'!F$56</f>
        <v>1.2839235369237754E-3</v>
      </c>
      <c r="K384" s="1">
        <f>IFERROR(K156/SUM(K285,K156),0)*'[1]Electricity and CHPs_IN'!G$56</f>
        <v>5.1733510366918376E-4</v>
      </c>
    </row>
    <row r="385" spans="1:11" x14ac:dyDescent="0.35">
      <c r="A385" s="5" t="s">
        <v>5</v>
      </c>
      <c r="B385" s="5" t="str">
        <f t="shared" si="216"/>
        <v>SPS4</v>
      </c>
      <c r="C385" s="5" t="s">
        <v>7</v>
      </c>
      <c r="D385" t="s">
        <v>858</v>
      </c>
      <c r="E385" t="str">
        <f t="shared" si="205"/>
        <v>PJ/yr.</v>
      </c>
      <c r="F385" s="1">
        <f>F386</f>
        <v>0.52400000000000047</v>
      </c>
      <c r="G385" s="1">
        <f t="shared" ref="G385:K385" si="223">G386</f>
        <v>0.54529218817233771</v>
      </c>
      <c r="H385" s="1">
        <f t="shared" si="223"/>
        <v>0.50316478650588714</v>
      </c>
      <c r="I385" s="1">
        <f t="shared" si="223"/>
        <v>0.88470540530052799</v>
      </c>
      <c r="J385" s="1">
        <f t="shared" si="223"/>
        <v>0.79251205342188069</v>
      </c>
      <c r="K385" s="1">
        <f t="shared" si="223"/>
        <v>3.1871311584375048</v>
      </c>
    </row>
    <row r="386" spans="1:11" x14ac:dyDescent="0.35">
      <c r="A386" s="5" t="s">
        <v>5</v>
      </c>
      <c r="B386" s="5" t="str">
        <f t="shared" si="216"/>
        <v>SPS4</v>
      </c>
      <c r="C386" s="5" t="s">
        <v>7</v>
      </c>
      <c r="D386" t="s">
        <v>137</v>
      </c>
      <c r="E386" t="str">
        <f t="shared" si="205"/>
        <v>PJ/yr.</v>
      </c>
      <c r="F386" s="1">
        <f>'[1]Electricity and CHPs_IN'!B$33</f>
        <v>0.52400000000000047</v>
      </c>
      <c r="G386" s="1">
        <f>'[1]Electricity and CHPs_IN'!C$33</f>
        <v>0.54529218817233771</v>
      </c>
      <c r="H386" s="1">
        <f>'[1]Electricity and CHPs_IN'!D$33</f>
        <v>0.50316478650588714</v>
      </c>
      <c r="I386" s="1">
        <f>'[1]Electricity and CHPs_IN'!E$33</f>
        <v>0.88470540530052799</v>
      </c>
      <c r="J386" s="1">
        <f>'[1]Electricity and CHPs_IN'!F$33</f>
        <v>0.79251205342188069</v>
      </c>
      <c r="K386" s="1">
        <f>'[1]Electricity and CHPs_IN'!G$33</f>
        <v>3.1871311584375048</v>
      </c>
    </row>
    <row r="387" spans="1:11" x14ac:dyDescent="0.35">
      <c r="A387" s="5" t="s">
        <v>5</v>
      </c>
      <c r="B387" s="5" t="str">
        <f t="shared" si="216"/>
        <v>SPS4</v>
      </c>
      <c r="C387" s="5" t="s">
        <v>7</v>
      </c>
      <c r="D387" t="s">
        <v>859</v>
      </c>
      <c r="E387" t="str">
        <f t="shared" si="205"/>
        <v>PJ/yr.</v>
      </c>
      <c r="F387" s="1">
        <f>SUM(F388:F392)</f>
        <v>9.3550000000000111</v>
      </c>
      <c r="G387" s="1">
        <f t="shared" ref="G387:K387" si="224">SUM(G388:G392)</f>
        <v>12.822601044512133</v>
      </c>
      <c r="H387" s="1">
        <f t="shared" si="224"/>
        <v>28.800021329546816</v>
      </c>
      <c r="I387" s="1">
        <f t="shared" si="224"/>
        <v>31.170947068199794</v>
      </c>
      <c r="J387" s="1">
        <f t="shared" si="224"/>
        <v>50.918603419399112</v>
      </c>
      <c r="K387" s="1">
        <f t="shared" si="224"/>
        <v>65.001968288364665</v>
      </c>
    </row>
    <row r="388" spans="1:11" x14ac:dyDescent="0.35">
      <c r="A388" s="5" t="s">
        <v>5</v>
      </c>
      <c r="B388" s="5" t="str">
        <f t="shared" si="216"/>
        <v>SPS4</v>
      </c>
      <c r="C388" s="5" t="s">
        <v>7</v>
      </c>
      <c r="D388" t="s">
        <v>138</v>
      </c>
      <c r="E388" t="str">
        <f t="shared" si="205"/>
        <v>PJ/yr.</v>
      </c>
      <c r="F388" s="1">
        <f>'[1]Electricity and CHPs_IN'!B34</f>
        <v>0</v>
      </c>
      <c r="G388" s="1">
        <f>'[1]Electricity and CHPs_IN'!C34</f>
        <v>0</v>
      </c>
      <c r="H388" s="1">
        <f>'[1]Electricity and CHPs_IN'!D34</f>
        <v>0.14081197866949283</v>
      </c>
      <c r="I388" s="1">
        <f>'[1]Electricity and CHPs_IN'!E34</f>
        <v>0.15586649247381029</v>
      </c>
      <c r="J388" s="1">
        <f>'[1]Electricity and CHPs_IN'!F34</f>
        <v>1.4227698751863633</v>
      </c>
      <c r="K388" s="1">
        <f>'[1]Electricity and CHPs_IN'!G34</f>
        <v>5.8688696598798051</v>
      </c>
    </row>
    <row r="389" spans="1:11" x14ac:dyDescent="0.35">
      <c r="A389" s="5" t="s">
        <v>5</v>
      </c>
      <c r="B389" s="5" t="str">
        <f t="shared" si="216"/>
        <v>SPS4</v>
      </c>
      <c r="C389" s="5" t="s">
        <v>7</v>
      </c>
      <c r="D389" t="s">
        <v>139</v>
      </c>
      <c r="E389" t="str">
        <f t="shared" si="205"/>
        <v>PJ/yr.</v>
      </c>
      <c r="F389" s="1">
        <f>'[1]Electricity and CHPs_IN'!B35</f>
        <v>3.517953999707534</v>
      </c>
      <c r="G389" s="1">
        <f>'[1]Electricity and CHPs_IN'!C35</f>
        <v>4.8498358630868532</v>
      </c>
      <c r="H389" s="1">
        <f>'[1]Electricity and CHPs_IN'!D35</f>
        <v>11.161629688698701</v>
      </c>
      <c r="I389" s="1">
        <f>'[1]Electricity and CHPs_IN'!E35</f>
        <v>12.110654148324913</v>
      </c>
      <c r="J389" s="1">
        <f>'[1]Electricity and CHPs_IN'!F35</f>
        <v>31.864007505027764</v>
      </c>
      <c r="K389" s="1">
        <f>'[1]Electricity and CHPs_IN'!G35</f>
        <v>41.365270797855707</v>
      </c>
    </row>
    <row r="390" spans="1:11" x14ac:dyDescent="0.35">
      <c r="A390" s="5" t="s">
        <v>5</v>
      </c>
      <c r="B390" s="5" t="str">
        <f t="shared" si="216"/>
        <v>SPS4</v>
      </c>
      <c r="C390" s="5" t="s">
        <v>7</v>
      </c>
      <c r="D390" t="s">
        <v>140</v>
      </c>
      <c r="E390" t="str">
        <f t="shared" si="205"/>
        <v>PJ/yr.</v>
      </c>
      <c r="F390" s="1">
        <f>'[1]Electricity and CHPs_IN'!B36</f>
        <v>2.1349390887346629</v>
      </c>
      <c r="G390" s="1">
        <f>'[1]Electricity and CHPs_IN'!C36</f>
        <v>3.3906952529113097</v>
      </c>
      <c r="H390" s="1">
        <f>'[1]Electricity and CHPs_IN'!D36</f>
        <v>4.0431155193030506</v>
      </c>
      <c r="I390" s="1">
        <f>'[1]Electricity and CHPs_IN'!E36</f>
        <v>4.3469912565653077</v>
      </c>
      <c r="J390" s="1">
        <f>'[1]Electricity and CHPs_IN'!F36</f>
        <v>1.5513542777157683</v>
      </c>
      <c r="K390" s="1">
        <f>'[1]Electricity and CHPs_IN'!G36</f>
        <v>4.9783059847589278E-3</v>
      </c>
    </row>
    <row r="391" spans="1:11" x14ac:dyDescent="0.35">
      <c r="A391" s="5" t="s">
        <v>5</v>
      </c>
      <c r="B391" s="5" t="str">
        <f t="shared" si="216"/>
        <v>SPS4</v>
      </c>
      <c r="C391" s="5" t="s">
        <v>7</v>
      </c>
      <c r="D391" t="s">
        <v>141</v>
      </c>
      <c r="E391" t="str">
        <f t="shared" si="205"/>
        <v>PJ/yr.</v>
      </c>
      <c r="F391" s="1">
        <f>'[1]Electricity and CHPs_IN'!B37</f>
        <v>0.86248322578584768</v>
      </c>
      <c r="G391" s="1">
        <f>'[1]Electricity and CHPs_IN'!C37</f>
        <v>1.2876147649710539</v>
      </c>
      <c r="H391" s="1">
        <f>'[1]Electricity and CHPs_IN'!D37</f>
        <v>3.4879586719998397</v>
      </c>
      <c r="I391" s="1">
        <f>'[1]Electricity and CHPs_IN'!E37</f>
        <v>3.8198114902017313</v>
      </c>
      <c r="J391" s="1">
        <f>'[1]Electricity and CHPs_IN'!F37</f>
        <v>4.2194482795938359</v>
      </c>
      <c r="K391" s="1">
        <f>'[1]Electricity and CHPs_IN'!G37</f>
        <v>4.6608987449479979</v>
      </c>
    </row>
    <row r="392" spans="1:11" x14ac:dyDescent="0.35">
      <c r="A392" s="5" t="s">
        <v>5</v>
      </c>
      <c r="B392" s="5" t="str">
        <f t="shared" si="216"/>
        <v>SPS4</v>
      </c>
      <c r="C392" s="5" t="s">
        <v>7</v>
      </c>
      <c r="D392" t="s">
        <v>142</v>
      </c>
      <c r="E392" t="str">
        <f t="shared" si="205"/>
        <v>PJ/yr.</v>
      </c>
      <c r="F392" s="1">
        <f>'[1]Electricity and CHPs_IN'!B38</f>
        <v>2.8396236857719668</v>
      </c>
      <c r="G392" s="1">
        <f>'[1]Electricity and CHPs_IN'!C38</f>
        <v>3.2944551635429171</v>
      </c>
      <c r="H392" s="1">
        <f>'[1]Electricity and CHPs_IN'!D38</f>
        <v>9.9665054708757328</v>
      </c>
      <c r="I392" s="1">
        <f>'[1]Electricity and CHPs_IN'!E38</f>
        <v>10.737623680634032</v>
      </c>
      <c r="J392" s="1">
        <f>'[1]Electricity and CHPs_IN'!F38</f>
        <v>11.861023481875385</v>
      </c>
      <c r="K392" s="1">
        <f>'[1]Electricity and CHPs_IN'!G38</f>
        <v>13.101950779696397</v>
      </c>
    </row>
    <row r="393" spans="1:11" x14ac:dyDescent="0.35">
      <c r="A393" s="5" t="s">
        <v>5</v>
      </c>
      <c r="B393" s="5" t="str">
        <f t="shared" si="216"/>
        <v>SPS4</v>
      </c>
      <c r="C393" s="5" t="s">
        <v>7</v>
      </c>
      <c r="D393" t="s">
        <v>860</v>
      </c>
      <c r="E393" t="str">
        <f t="shared" si="205"/>
        <v>PJ/yr.</v>
      </c>
      <c r="F393" s="1">
        <f>'[1]Electricity and CHPs'!B252</f>
        <v>0</v>
      </c>
      <c r="G393" s="1">
        <f>'[1]Electricity and CHPs'!C252</f>
        <v>0</v>
      </c>
      <c r="H393" s="1">
        <f>'[1]Electricity and CHPs'!D252</f>
        <v>0</v>
      </c>
      <c r="I393" s="1">
        <f>'[1]Electricity and CHPs'!E252</f>
        <v>0</v>
      </c>
      <c r="J393" s="1">
        <f>'[1]Electricity and CHPs'!F252</f>
        <v>0</v>
      </c>
      <c r="K393" s="1">
        <f>'[1]Electricity and CHPs'!G252</f>
        <v>0</v>
      </c>
    </row>
    <row r="394" spans="1:11" x14ac:dyDescent="0.35">
      <c r="A394" s="5" t="s">
        <v>5</v>
      </c>
      <c r="B394" s="5" t="str">
        <f t="shared" si="216"/>
        <v>SPS4</v>
      </c>
      <c r="C394" s="5" t="s">
        <v>7</v>
      </c>
      <c r="D394" t="s">
        <v>143</v>
      </c>
      <c r="E394" t="str">
        <f t="shared" si="205"/>
        <v>PJ/yr.</v>
      </c>
      <c r="F394" s="1">
        <f>'[1]Electricity and CHPs_IN'!B$32</f>
        <v>0</v>
      </c>
      <c r="G394" s="1">
        <f>'[1]Electricity and CHPs_IN'!C$32</f>
        <v>0</v>
      </c>
      <c r="H394" s="1">
        <f>'[1]Electricity and CHPs_IN'!D$32</f>
        <v>0</v>
      </c>
      <c r="I394" s="1">
        <f>'[1]Electricity and CHPs_IN'!E$32</f>
        <v>0</v>
      </c>
      <c r="J394" s="1">
        <f>'[1]Electricity and CHPs_IN'!F$32</f>
        <v>2.4438987272371163E-2</v>
      </c>
      <c r="K394" s="1">
        <f>'[1]Electricity and CHPs_IN'!G$32</f>
        <v>0.15647810399348697</v>
      </c>
    </row>
    <row r="395" spans="1:11" x14ac:dyDescent="0.35">
      <c r="A395" s="5" t="s">
        <v>5</v>
      </c>
      <c r="B395" s="5" t="str">
        <f t="shared" si="216"/>
        <v>SPS4</v>
      </c>
      <c r="C395" s="5" t="s">
        <v>7</v>
      </c>
      <c r="D395" t="s">
        <v>861</v>
      </c>
      <c r="E395" t="str">
        <f t="shared" si="205"/>
        <v>PJ/yr.</v>
      </c>
      <c r="F395" s="1">
        <f t="shared" ref="F395" si="225">SUM(F396:F398)</f>
        <v>0</v>
      </c>
      <c r="G395" s="1">
        <f t="shared" ref="G395" si="226">SUM(G396:G398)</f>
        <v>0</v>
      </c>
      <c r="H395" s="1">
        <f t="shared" ref="H395" si="227">SUM(H396:H398)</f>
        <v>0</v>
      </c>
      <c r="I395" s="1">
        <f t="shared" ref="I395" si="228">SUM(I396:I398)</f>
        <v>0</v>
      </c>
      <c r="J395" s="1">
        <f t="shared" ref="J395" si="229">SUM(J396:J398)</f>
        <v>0</v>
      </c>
      <c r="K395" s="1">
        <f t="shared" ref="K395" si="230">SUM(K396:K398)</f>
        <v>0</v>
      </c>
    </row>
    <row r="396" spans="1:11" x14ac:dyDescent="0.35">
      <c r="A396" s="5" t="s">
        <v>5</v>
      </c>
      <c r="B396" s="5" t="str">
        <f t="shared" si="216"/>
        <v>SPS4</v>
      </c>
      <c r="C396" s="5" t="s">
        <v>7</v>
      </c>
      <c r="D396" t="s">
        <v>144</v>
      </c>
      <c r="E396" t="str">
        <f t="shared" si="205"/>
        <v>PJ/yr.</v>
      </c>
      <c r="F396" s="1">
        <f>IFERROR(F168/SUM(F168,F207),0)*'[1]Electricity and CHPs_IN'!B$30</f>
        <v>0</v>
      </c>
      <c r="G396" s="1">
        <f>IFERROR(G168/SUM(G168,G207),0)*'[1]Electricity and CHPs_IN'!C$30</f>
        <v>0</v>
      </c>
      <c r="H396" s="1">
        <f>IFERROR(H168/SUM(H168,H207),0)*'[1]Electricity and CHPs_IN'!D$30</f>
        <v>0</v>
      </c>
      <c r="I396" s="1">
        <f>IFERROR(I168/SUM(I168,I207),0)*'[1]Electricity and CHPs_IN'!E$30</f>
        <v>0</v>
      </c>
      <c r="J396" s="1">
        <f>IFERROR(J168/SUM(J168,J207),0)*'[1]Electricity and CHPs_IN'!F$30</f>
        <v>0</v>
      </c>
      <c r="K396" s="1">
        <f>IFERROR(K168/SUM(K168,K207),0)*'[1]Electricity and CHPs_IN'!G$30</f>
        <v>0</v>
      </c>
    </row>
    <row r="397" spans="1:11" x14ac:dyDescent="0.35">
      <c r="A397" s="5" t="s">
        <v>5</v>
      </c>
      <c r="B397" s="5" t="str">
        <f t="shared" si="216"/>
        <v>SPS4</v>
      </c>
      <c r="C397" s="5" t="s">
        <v>7</v>
      </c>
      <c r="D397" t="s">
        <v>145</v>
      </c>
      <c r="E397" t="str">
        <f t="shared" si="205"/>
        <v>PJ/yr.</v>
      </c>
      <c r="F397" s="1">
        <f>IFERROR(F169/SUM(F169,F287),0)*'[1]Electricity and CHPs_IN'!B$46</f>
        <v>0</v>
      </c>
      <c r="G397" s="1">
        <f>IFERROR(G169/SUM(G169,G287),0)*'[1]Electricity and CHPs_IN'!C$46</f>
        <v>0</v>
      </c>
      <c r="H397" s="1">
        <f>IFERROR(H169/SUM(H169,H287),0)*'[1]Electricity and CHPs_IN'!D$46</f>
        <v>0</v>
      </c>
      <c r="I397" s="1">
        <f>IFERROR(I169/SUM(I169,I287),0)*'[1]Electricity and CHPs_IN'!E$46</f>
        <v>0</v>
      </c>
      <c r="J397" s="1">
        <f>IFERROR(J169/SUM(J169,J287),0)*'[1]Electricity and CHPs_IN'!F$46</f>
        <v>0</v>
      </c>
      <c r="K397" s="1">
        <f>IFERROR(K169/SUM(K169,K287),0)*'[1]Electricity and CHPs_IN'!G$46</f>
        <v>0</v>
      </c>
    </row>
    <row r="398" spans="1:11" x14ac:dyDescent="0.35">
      <c r="A398" s="5" t="s">
        <v>5</v>
      </c>
      <c r="B398" s="5" t="str">
        <f t="shared" si="216"/>
        <v>SPS4</v>
      </c>
      <c r="C398" s="5" t="s">
        <v>7</v>
      </c>
      <c r="D398" t="s">
        <v>237</v>
      </c>
      <c r="E398" t="str">
        <f t="shared" si="205"/>
        <v>PJ/yr.</v>
      </c>
      <c r="F398" s="1">
        <f>IFERROR(F170/SUM(F170,F288),0)*'[1]Electricity and CHPs_IN'!B$57</f>
        <v>0</v>
      </c>
      <c r="G398" s="1">
        <f>IFERROR(G170/SUM(G170,G288),0)*'[1]Electricity and CHPs_IN'!C$57</f>
        <v>0</v>
      </c>
      <c r="H398" s="1">
        <f>IFERROR(H170/SUM(H170,H288),0)*'[1]Electricity and CHPs_IN'!D$57</f>
        <v>0</v>
      </c>
      <c r="I398" s="1">
        <f>IFERROR(I170/SUM(I170,I288),0)*'[1]Electricity and CHPs_IN'!E$57</f>
        <v>0</v>
      </c>
      <c r="J398" s="1">
        <f>IFERROR(J170/SUM(J170,J288),0)*'[1]Electricity and CHPs_IN'!F$57</f>
        <v>0</v>
      </c>
      <c r="K398" s="1">
        <f>IFERROR(K170/SUM(K170,K288),0)*'[1]Electricity and CHPs_IN'!G$57</f>
        <v>0</v>
      </c>
    </row>
    <row r="399" spans="1:11" x14ac:dyDescent="0.35">
      <c r="A399" s="5" t="s">
        <v>5</v>
      </c>
      <c r="B399" s="5" t="str">
        <f t="shared" si="216"/>
        <v>SPS4</v>
      </c>
      <c r="C399" s="5" t="s">
        <v>7</v>
      </c>
      <c r="D399" t="s">
        <v>862</v>
      </c>
      <c r="E399" t="str">
        <f t="shared" si="205"/>
        <v>PJ/yr.</v>
      </c>
      <c r="F399" s="1">
        <f>SUM(F400:F406)</f>
        <v>0.14954788008547173</v>
      </c>
      <c r="G399" s="1">
        <f t="shared" ref="G399:K399" si="231">SUM(G400:G406)</f>
        <v>2.4996124183398267E-2</v>
      </c>
      <c r="H399" s="1">
        <f t="shared" si="231"/>
        <v>0.14928465246180481</v>
      </c>
      <c r="I399" s="1">
        <f t="shared" si="231"/>
        <v>0.25280765495310797</v>
      </c>
      <c r="J399" s="1">
        <f t="shared" si="231"/>
        <v>0.64619724977367687</v>
      </c>
      <c r="K399" s="1">
        <f t="shared" si="231"/>
        <v>1.3573805184313334</v>
      </c>
    </row>
    <row r="400" spans="1:11" x14ac:dyDescent="0.35">
      <c r="A400" s="5" t="s">
        <v>5</v>
      </c>
      <c r="B400" s="5" t="str">
        <f t="shared" si="216"/>
        <v>SPS4</v>
      </c>
      <c r="C400" s="5" t="s">
        <v>7</v>
      </c>
      <c r="D400" t="s">
        <v>146</v>
      </c>
      <c r="E400" t="str">
        <f t="shared" si="205"/>
        <v>PJ/yr.</v>
      </c>
      <c r="F400" s="1">
        <f>'[1]Electricity and CHPs_IN'!B63</f>
        <v>0.13509641579725434</v>
      </c>
      <c r="G400" s="1">
        <f>'[1]Electricity and CHPs_IN'!C63</f>
        <v>1.2250112590542738E-2</v>
      </c>
      <c r="H400" s="1">
        <f>'[1]Electricity and CHPs_IN'!D63</f>
        <v>0.13501649941244928</v>
      </c>
      <c r="I400" s="1">
        <f>'[1]Electricity and CHPs_IN'!E63</f>
        <v>5.3868994623559339E-2</v>
      </c>
      <c r="J400" s="1">
        <f>'[1]Electricity and CHPs_IN'!F63</f>
        <v>0.13495502498373371</v>
      </c>
      <c r="K400" s="1">
        <f>'[1]Electricity and CHPs_IN'!G63</f>
        <v>0.13500082670189084</v>
      </c>
    </row>
    <row r="401" spans="1:19" x14ac:dyDescent="0.35">
      <c r="A401" s="5" t="s">
        <v>5</v>
      </c>
      <c r="B401" s="5" t="str">
        <f t="shared" si="216"/>
        <v>SPS4</v>
      </c>
      <c r="C401" s="5" t="s">
        <v>7</v>
      </c>
      <c r="D401" t="s">
        <v>147</v>
      </c>
      <c r="E401" t="str">
        <f t="shared" si="205"/>
        <v>PJ/yr.</v>
      </c>
      <c r="F401" s="1">
        <f>'[1]Electricity and CHPs_IN'!B64</f>
        <v>4.0745984648568089E-3</v>
      </c>
      <c r="G401" s="1">
        <f>'[1]Electricity and CHPs_IN'!C64</f>
        <v>3.1877995550985338E-3</v>
      </c>
      <c r="H401" s="1">
        <f>'[1]Electricity and CHPs_IN'!D64</f>
        <v>4.0478758117290653E-3</v>
      </c>
      <c r="I401" s="1">
        <f>'[1]Electricity and CHPs_IN'!E64</f>
        <v>3.697378817548318E-3</v>
      </c>
      <c r="J401" s="1">
        <f>'[1]Electricity and CHPs_IN'!F64</f>
        <v>0.10168760826706645</v>
      </c>
      <c r="K401" s="1">
        <f>'[1]Electricity and CHPs_IN'!G64</f>
        <v>0.65241195706626698</v>
      </c>
    </row>
    <row r="402" spans="1:19" x14ac:dyDescent="0.35">
      <c r="A402" s="5" t="s">
        <v>5</v>
      </c>
      <c r="B402" s="5" t="str">
        <f t="shared" si="216"/>
        <v>SPS4</v>
      </c>
      <c r="C402" s="5" t="s">
        <v>7</v>
      </c>
      <c r="D402" t="s">
        <v>148</v>
      </c>
      <c r="E402" t="str">
        <f t="shared" si="205"/>
        <v>PJ/yr.</v>
      </c>
      <c r="F402" s="1">
        <f>'[1]Electricity and CHPs_IN'!B65</f>
        <v>3.5564309424991384E-3</v>
      </c>
      <c r="G402" s="1">
        <f>'[1]Electricity and CHPs_IN'!C65</f>
        <v>2.8166449506669324E-3</v>
      </c>
      <c r="H402" s="1">
        <f>'[1]Electricity and CHPs_IN'!D65</f>
        <v>3.5223229616786816E-3</v>
      </c>
      <c r="I402" s="1">
        <f>'[1]Electricity and CHPs_IN'!E65</f>
        <v>3.3709660072428573E-3</v>
      </c>
      <c r="J402" s="1">
        <f>'[1]Electricity and CHPs_IN'!F65</f>
        <v>1.554943048844251E-2</v>
      </c>
      <c r="K402" s="1">
        <f>'[1]Electricity and CHPs_IN'!G65</f>
        <v>2.5698365634256041E-2</v>
      </c>
    </row>
    <row r="403" spans="1:19" x14ac:dyDescent="0.35">
      <c r="A403" s="5" t="s">
        <v>5</v>
      </c>
      <c r="B403" s="5" t="str">
        <f t="shared" si="216"/>
        <v>SPS4</v>
      </c>
      <c r="C403" s="5" t="s">
        <v>7</v>
      </c>
      <c r="D403" t="s">
        <v>149</v>
      </c>
      <c r="E403" t="str">
        <f t="shared" si="205"/>
        <v>PJ/yr.</v>
      </c>
      <c r="F403" s="1">
        <f>'[1]Electricity and CHPs_IN'!B66</f>
        <v>1.1360361296614857E-3</v>
      </c>
      <c r="G403" s="1">
        <f>'[1]Electricity and CHPs_IN'!C66</f>
        <v>1.1230573869421851E-3</v>
      </c>
      <c r="H403" s="1">
        <f>'[1]Electricity and CHPs_IN'!D66</f>
        <v>1.1144356916349219E-3</v>
      </c>
      <c r="I403" s="1">
        <f>'[1]Electricity and CHPs_IN'!E66</f>
        <v>3.714723704236407E-2</v>
      </c>
      <c r="J403" s="1">
        <f>'[1]Electricity and CHPs_IN'!F66</f>
        <v>0.28475222753445173</v>
      </c>
      <c r="K403" s="1">
        <f>'[1]Electricity and CHPs_IN'!G66</f>
        <v>0.46988040259935943</v>
      </c>
    </row>
    <row r="404" spans="1:19" x14ac:dyDescent="0.35">
      <c r="A404" s="5" t="s">
        <v>5</v>
      </c>
      <c r="B404" s="5" t="str">
        <f t="shared" si="216"/>
        <v>SPS4</v>
      </c>
      <c r="C404" s="5" t="s">
        <v>7</v>
      </c>
      <c r="D404" t="s">
        <v>1854</v>
      </c>
      <c r="E404" t="str">
        <f t="shared" si="205"/>
        <v>PJ/yr.</v>
      </c>
      <c r="F404" s="1">
        <f>'[1]Electricity and CHPs_IN'!B67</f>
        <v>2.272172246339685E-3</v>
      </c>
      <c r="G404" s="1">
        <f>'[1]Electricity and CHPs_IN'!C67</f>
        <v>2.245779206817049E-3</v>
      </c>
      <c r="H404" s="1">
        <f>'[1]Electricity and CHPs_IN'!D67</f>
        <v>2.2305209955900398E-3</v>
      </c>
      <c r="I404" s="1">
        <f>'[1]Electricity and CHPs_IN'!E67</f>
        <v>5.907596964786796E-2</v>
      </c>
      <c r="J404" s="1">
        <f>'[1]Electricity and CHPs_IN'!F67</f>
        <v>3.7684573365366902E-2</v>
      </c>
      <c r="K404" s="1">
        <f>'[1]Electricity and CHPs_IN'!G67</f>
        <v>2.8027228994789738E-2</v>
      </c>
    </row>
    <row r="405" spans="1:19" x14ac:dyDescent="0.35">
      <c r="A405" s="5" t="s">
        <v>5</v>
      </c>
      <c r="B405" s="5" t="str">
        <f t="shared" si="216"/>
        <v>SPS4</v>
      </c>
      <c r="C405" s="5" t="s">
        <v>7</v>
      </c>
      <c r="D405" t="s">
        <v>150</v>
      </c>
      <c r="E405" t="str">
        <f t="shared" si="205"/>
        <v>PJ/yr.</v>
      </c>
      <c r="F405" s="1">
        <f>'[1]Electricity and CHPs_IN'!B68</f>
        <v>2.2716183184429747E-3</v>
      </c>
      <c r="G405" s="1">
        <f>'[1]Electricity and CHPs_IN'!C68</f>
        <v>2.2452112534010128E-3</v>
      </c>
      <c r="H405" s="1">
        <f>'[1]Electricity and CHPs_IN'!D68</f>
        <v>2.2333642354354171E-3</v>
      </c>
      <c r="I405" s="1">
        <f>'[1]Electricity and CHPs_IN'!E68</f>
        <v>5.9306288670804716E-2</v>
      </c>
      <c r="J405" s="1">
        <f>'[1]Electricity and CHPs_IN'!F68</f>
        <v>4.3061908179642623E-2</v>
      </c>
      <c r="K405" s="1">
        <f>'[1]Electricity and CHPs_IN'!G68</f>
        <v>2.8025224212990481E-2</v>
      </c>
    </row>
    <row r="406" spans="1:19" x14ac:dyDescent="0.35">
      <c r="A406" s="5" t="s">
        <v>5</v>
      </c>
      <c r="B406" s="5" t="str">
        <f t="shared" si="216"/>
        <v>SPS4</v>
      </c>
      <c r="C406" s="5" t="s">
        <v>7</v>
      </c>
      <c r="D406" t="s">
        <v>151</v>
      </c>
      <c r="E406" t="str">
        <f t="shared" si="205"/>
        <v>PJ/yr.</v>
      </c>
      <c r="F406" s="1">
        <f>'[1]Electricity and CHPs_IN'!B69</f>
        <v>1.14060818641731E-3</v>
      </c>
      <c r="G406" s="1">
        <f>'[1]Electricity and CHPs_IN'!C69</f>
        <v>1.127519239929818E-3</v>
      </c>
      <c r="H406" s="1">
        <f>'[1]Electricity and CHPs_IN'!D69</f>
        <v>1.119633353287412E-3</v>
      </c>
      <c r="I406" s="1">
        <f>'[1]Electricity and CHPs_IN'!E69</f>
        <v>3.6340820143720691E-2</v>
      </c>
      <c r="J406" s="1">
        <f>'[1]Electricity and CHPs_IN'!F69</f>
        <v>2.8506476954973017E-2</v>
      </c>
      <c r="K406" s="1">
        <f>'[1]Electricity and CHPs_IN'!G69</f>
        <v>1.8336513221779739E-2</v>
      </c>
    </row>
    <row r="407" spans="1:19" x14ac:dyDescent="0.35">
      <c r="A407" s="5"/>
      <c r="B407" s="9" t="str">
        <f t="shared" si="216"/>
        <v>SPS4</v>
      </c>
      <c r="C407" s="2" t="str">
        <f t="shared" ref="C407" si="232">C406</f>
        <v>CH</v>
      </c>
      <c r="D407" s="2" t="s">
        <v>190</v>
      </c>
      <c r="E407" s="2" t="str">
        <f>E395</f>
        <v>PJ/yr.</v>
      </c>
      <c r="F407" s="3">
        <f>F408+F461</f>
        <v>55.780043287754708</v>
      </c>
      <c r="G407" s="3">
        <f t="shared" ref="G407:K407" si="233">G408+G461</f>
        <v>55.773416809928349</v>
      </c>
      <c r="H407" s="3">
        <f t="shared" si="233"/>
        <v>54.532993520895261</v>
      </c>
      <c r="I407" s="3">
        <f t="shared" si="233"/>
        <v>58.509426843876476</v>
      </c>
      <c r="J407" s="3">
        <f t="shared" si="233"/>
        <v>69.729589980330701</v>
      </c>
      <c r="K407" s="3">
        <f t="shared" si="233"/>
        <v>76.76311811023939</v>
      </c>
      <c r="M407" s="11"/>
      <c r="N407" s="11"/>
      <c r="O407" s="11"/>
      <c r="P407" s="11"/>
      <c r="Q407" s="11"/>
      <c r="R407" s="11"/>
      <c r="S407" s="11"/>
    </row>
    <row r="408" spans="1:19" x14ac:dyDescent="0.35">
      <c r="A408" s="5"/>
      <c r="B408" s="5" t="str">
        <f t="shared" si="216"/>
        <v>SPS4</v>
      </c>
      <c r="C408" s="5" t="s">
        <v>7</v>
      </c>
      <c r="D408" t="s">
        <v>863</v>
      </c>
      <c r="E408" t="str">
        <f>E396</f>
        <v>PJ/yr.</v>
      </c>
      <c r="F408" s="1">
        <f t="shared" ref="F408:K408" si="234">F409+F438</f>
        <v>47.857565937227562</v>
      </c>
      <c r="G408" s="1">
        <f t="shared" si="234"/>
        <v>47.144618192769485</v>
      </c>
      <c r="H408" s="1">
        <f t="shared" si="234"/>
        <v>44.435147870286343</v>
      </c>
      <c r="I408" s="1">
        <f t="shared" si="234"/>
        <v>46.325988954511843</v>
      </c>
      <c r="J408" s="1">
        <f t="shared" si="234"/>
        <v>46.938305753229479</v>
      </c>
      <c r="K408" s="1">
        <f t="shared" si="234"/>
        <v>51.993576431454059</v>
      </c>
      <c r="M408" s="11"/>
      <c r="N408" s="11"/>
      <c r="O408" s="11"/>
      <c r="P408" s="11"/>
      <c r="Q408" s="11"/>
      <c r="R408" s="11"/>
      <c r="S408" s="11"/>
    </row>
    <row r="409" spans="1:19" x14ac:dyDescent="0.35">
      <c r="A409" s="5"/>
      <c r="B409" s="5" t="str">
        <f t="shared" si="216"/>
        <v>SPS4</v>
      </c>
      <c r="C409" s="5" t="s">
        <v>7</v>
      </c>
      <c r="D409" t="s">
        <v>864</v>
      </c>
      <c r="E409" t="str">
        <f>E393</f>
        <v>PJ/yr.</v>
      </c>
      <c r="F409" s="1">
        <f>SUM(F410,F416,F425,F434,F436)</f>
        <v>40.175097546670536</v>
      </c>
      <c r="G409" s="1">
        <f t="shared" ref="G409:K409" si="235">SUM(G410,G416,G425,G434,G436)</f>
        <v>34.958803761162692</v>
      </c>
      <c r="H409" s="1">
        <f t="shared" si="235"/>
        <v>34.752784191410697</v>
      </c>
      <c r="I409" s="1">
        <f t="shared" si="235"/>
        <v>37.106894601476739</v>
      </c>
      <c r="J409" s="1">
        <f t="shared" si="235"/>
        <v>39.427374630104332</v>
      </c>
      <c r="K409" s="1">
        <f t="shared" si="235"/>
        <v>47.778012414220875</v>
      </c>
    </row>
    <row r="410" spans="1:19" x14ac:dyDescent="0.35">
      <c r="A410" s="5"/>
      <c r="B410" s="5" t="str">
        <f t="shared" si="216"/>
        <v>SPS4</v>
      </c>
      <c r="C410" s="5" t="s">
        <v>7</v>
      </c>
      <c r="D410" t="s">
        <v>865</v>
      </c>
      <c r="E410" t="s">
        <v>8</v>
      </c>
      <c r="F410" s="1">
        <f>F411</f>
        <v>1.8289589170790641E-2</v>
      </c>
      <c r="G410" s="1">
        <f t="shared" ref="G410:K410" si="236">G411</f>
        <v>9.1183365687766079E-4</v>
      </c>
      <c r="H410" s="1">
        <f t="shared" si="236"/>
        <v>8.0855066751036129E-3</v>
      </c>
      <c r="I410" s="1">
        <f t="shared" si="236"/>
        <v>2.3067575347038246E-3</v>
      </c>
      <c r="J410" s="1">
        <f t="shared" si="236"/>
        <v>4.32449999052707E-3</v>
      </c>
      <c r="K410" s="1">
        <f t="shared" si="236"/>
        <v>2.5899952795464601E-3</v>
      </c>
    </row>
    <row r="411" spans="1:19" x14ac:dyDescent="0.35">
      <c r="A411" s="5"/>
      <c r="B411" s="5" t="str">
        <f t="shared" si="216"/>
        <v>SPS4</v>
      </c>
      <c r="C411" s="5" t="s">
        <v>7</v>
      </c>
      <c r="D411" t="s">
        <v>231</v>
      </c>
      <c r="E411" t="s">
        <v>8</v>
      </c>
      <c r="F411" s="1">
        <f>'[1]Electricity and CHPs_IN'!B$28-F298</f>
        <v>1.8289589170790641E-2</v>
      </c>
      <c r="G411" s="1">
        <f>'[1]Electricity and CHPs_IN'!C$28-G298</f>
        <v>9.1183365687766079E-4</v>
      </c>
      <c r="H411" s="1">
        <f>'[1]Electricity and CHPs_IN'!D$28-H298</f>
        <v>8.0855066751036129E-3</v>
      </c>
      <c r="I411" s="1">
        <f>'[1]Electricity and CHPs_IN'!E$28-I298</f>
        <v>2.3067575347038246E-3</v>
      </c>
      <c r="J411" s="1">
        <f>'[1]Electricity and CHPs_IN'!F$28-J298</f>
        <v>4.32449999052707E-3</v>
      </c>
      <c r="K411" s="1">
        <f>'[1]Electricity and CHPs_IN'!G$28-K298</f>
        <v>2.5899952795464601E-3</v>
      </c>
    </row>
    <row r="412" spans="1:19" x14ac:dyDescent="0.35">
      <c r="A412" s="5"/>
      <c r="B412" s="5" t="str">
        <f t="shared" si="216"/>
        <v>SPS4</v>
      </c>
      <c r="C412" s="5" t="s">
        <v>7</v>
      </c>
      <c r="D412" t="s">
        <v>866</v>
      </c>
      <c r="E412" t="s">
        <v>8</v>
      </c>
      <c r="F412" s="1">
        <f>F413</f>
        <v>1.8289589170790641E-2</v>
      </c>
      <c r="G412" s="1">
        <f t="shared" ref="G412:K412" si="237">G413</f>
        <v>9.1183365687766079E-4</v>
      </c>
      <c r="H412" s="1">
        <f t="shared" si="237"/>
        <v>8.0855066751036129E-3</v>
      </c>
      <c r="I412" s="1">
        <f t="shared" si="237"/>
        <v>2.3067575347038246E-3</v>
      </c>
      <c r="J412" s="1">
        <f t="shared" si="237"/>
        <v>4.32449999052707E-3</v>
      </c>
      <c r="K412" s="1">
        <f t="shared" si="237"/>
        <v>2.5899952795464601E-3</v>
      </c>
    </row>
    <row r="413" spans="1:19" x14ac:dyDescent="0.35">
      <c r="A413" s="5"/>
      <c r="B413" s="5" t="str">
        <f t="shared" si="216"/>
        <v>SPS4</v>
      </c>
      <c r="C413" s="5" t="s">
        <v>7</v>
      </c>
      <c r="D413" t="s">
        <v>523</v>
      </c>
      <c r="E413" t="s">
        <v>8</v>
      </c>
      <c r="F413" s="1">
        <f>F411-F415</f>
        <v>1.8289589170790641E-2</v>
      </c>
      <c r="G413" s="1">
        <f t="shared" ref="G413:K413" si="238">G411-G415</f>
        <v>9.1183365687766079E-4</v>
      </c>
      <c r="H413" s="1">
        <f t="shared" si="238"/>
        <v>8.0855066751036129E-3</v>
      </c>
      <c r="I413" s="1">
        <f t="shared" si="238"/>
        <v>2.3067575347038246E-3</v>
      </c>
      <c r="J413" s="1">
        <f t="shared" si="238"/>
        <v>4.32449999052707E-3</v>
      </c>
      <c r="K413" s="1">
        <f t="shared" si="238"/>
        <v>2.5899952795464601E-3</v>
      </c>
    </row>
    <row r="414" spans="1:19" x14ac:dyDescent="0.35">
      <c r="A414" s="5"/>
      <c r="B414" s="5" t="str">
        <f t="shared" si="216"/>
        <v>SPS4</v>
      </c>
      <c r="C414" s="5" t="s">
        <v>7</v>
      </c>
      <c r="D414" t="s">
        <v>867</v>
      </c>
      <c r="E414" t="s">
        <v>8</v>
      </c>
      <c r="F414" s="1">
        <f>F415</f>
        <v>0</v>
      </c>
      <c r="G414" s="1">
        <f t="shared" ref="G414:K414" si="239">G415</f>
        <v>0</v>
      </c>
      <c r="H414" s="1">
        <f t="shared" si="239"/>
        <v>0</v>
      </c>
      <c r="I414" s="1">
        <f t="shared" si="239"/>
        <v>0</v>
      </c>
      <c r="J414" s="1">
        <f t="shared" si="239"/>
        <v>0</v>
      </c>
      <c r="K414" s="1">
        <f t="shared" si="239"/>
        <v>0</v>
      </c>
    </row>
    <row r="415" spans="1:19" x14ac:dyDescent="0.35">
      <c r="A415" s="5"/>
      <c r="B415" s="5" t="str">
        <f t="shared" si="216"/>
        <v>SPS4</v>
      </c>
      <c r="C415" s="5" t="s">
        <v>7</v>
      </c>
      <c r="D415" t="s">
        <v>547</v>
      </c>
      <c r="E415" t="s">
        <v>8</v>
      </c>
      <c r="F415" s="1">
        <f>IFERROR(F306/F298,0)*F411</f>
        <v>0</v>
      </c>
      <c r="G415" s="1">
        <f t="shared" ref="G415:K415" si="240">IFERROR(G306/G298,0)*G411</f>
        <v>0</v>
      </c>
      <c r="H415" s="1">
        <f t="shared" si="240"/>
        <v>0</v>
      </c>
      <c r="I415" s="1">
        <f t="shared" si="240"/>
        <v>0</v>
      </c>
      <c r="J415" s="1">
        <f t="shared" si="240"/>
        <v>0</v>
      </c>
      <c r="K415" s="1">
        <f t="shared" si="240"/>
        <v>0</v>
      </c>
    </row>
    <row r="416" spans="1:19" x14ac:dyDescent="0.35">
      <c r="A416" s="5"/>
      <c r="B416" s="5" t="str">
        <f t="shared" si="216"/>
        <v>SPS4</v>
      </c>
      <c r="C416" s="5" t="s">
        <v>7</v>
      </c>
      <c r="D416" t="s">
        <v>868</v>
      </c>
      <c r="E416" t="s">
        <v>8</v>
      </c>
      <c r="F416" s="1">
        <f>SUM(F417:F418)</f>
        <v>2.3963808235014055</v>
      </c>
      <c r="G416" s="1">
        <f t="shared" ref="G416:K416" si="241">SUM(G417:G418)</f>
        <v>1.5204187287358299E-3</v>
      </c>
      <c r="H416" s="1">
        <f t="shared" si="241"/>
        <v>7.6793656114308136E-3</v>
      </c>
      <c r="I416" s="1">
        <f t="shared" si="241"/>
        <v>8.595577422026485E-3</v>
      </c>
      <c r="J416" s="1">
        <f t="shared" si="241"/>
        <v>1.8738598990849609</v>
      </c>
      <c r="K416" s="1">
        <f t="shared" si="241"/>
        <v>5.5401388994366396</v>
      </c>
    </row>
    <row r="417" spans="1:11" x14ac:dyDescent="0.35">
      <c r="A417" s="5"/>
      <c r="B417" s="5" t="str">
        <f t="shared" si="216"/>
        <v>SPS4</v>
      </c>
      <c r="C417" s="5" t="s">
        <v>7</v>
      </c>
      <c r="D417" t="s">
        <v>191</v>
      </c>
      <c r="E417" t="s">
        <v>8</v>
      </c>
      <c r="F417" s="1">
        <f>'[1]Electricity and CHPs_IN'!B$24-F312</f>
        <v>2.3963808235014055</v>
      </c>
      <c r="G417" s="1">
        <f>'[1]Electricity and CHPs_IN'!C$24-G312</f>
        <v>1.5204187287358299E-3</v>
      </c>
      <c r="H417" s="1">
        <f>'[1]Electricity and CHPs_IN'!D$24-H312</f>
        <v>7.6793656114308136E-3</v>
      </c>
      <c r="I417" s="1">
        <f>'[1]Electricity and CHPs_IN'!E$24-I312</f>
        <v>8.595577422026485E-3</v>
      </c>
      <c r="J417" s="1">
        <f>'[1]Electricity and CHPs_IN'!F$24-J312</f>
        <v>1.2915015276232107</v>
      </c>
      <c r="K417" s="1">
        <f>'[1]Electricity and CHPs_IN'!G$24-K312</f>
        <v>2.5426882171902538</v>
      </c>
    </row>
    <row r="418" spans="1:11" x14ac:dyDescent="0.35">
      <c r="A418" s="5"/>
      <c r="B418" s="5" t="str">
        <f t="shared" si="216"/>
        <v>SPS4</v>
      </c>
      <c r="C418" s="5" t="s">
        <v>7</v>
      </c>
      <c r="D418" t="s">
        <v>192</v>
      </c>
      <c r="E418" t="s">
        <v>8</v>
      </c>
      <c r="F418" s="1">
        <f>'[1]Electricity and CHPs_IN'!B$29-F313</f>
        <v>0</v>
      </c>
      <c r="G418" s="1">
        <f>'[1]Electricity and CHPs_IN'!C$29-G313</f>
        <v>0</v>
      </c>
      <c r="H418" s="1">
        <f>'[1]Electricity and CHPs_IN'!D$29-H313</f>
        <v>0</v>
      </c>
      <c r="I418" s="1">
        <f>'[1]Electricity and CHPs_IN'!E$29-I313</f>
        <v>0</v>
      </c>
      <c r="J418" s="1">
        <f>'[1]Electricity and CHPs_IN'!F$29-J313</f>
        <v>0.58235837146175018</v>
      </c>
      <c r="K418" s="1">
        <f>'[1]Electricity and CHPs_IN'!G$29-K313</f>
        <v>2.9974506822463853</v>
      </c>
    </row>
    <row r="419" spans="1:11" x14ac:dyDescent="0.35">
      <c r="A419" s="5"/>
      <c r="B419" s="5" t="str">
        <f t="shared" si="216"/>
        <v>SPS4</v>
      </c>
      <c r="C419" s="5" t="s">
        <v>7</v>
      </c>
      <c r="D419" t="s">
        <v>869</v>
      </c>
      <c r="E419" t="s">
        <v>8</v>
      </c>
      <c r="F419" s="1">
        <f>SUM(F420:F421)</f>
        <v>2.3357581700715135</v>
      </c>
      <c r="G419" s="1">
        <f t="shared" ref="G419:K419" si="242">SUM(G420:G421)</f>
        <v>1.4900201079534876E-3</v>
      </c>
      <c r="H419" s="1">
        <f t="shared" si="242"/>
        <v>7.1847063003762307E-3</v>
      </c>
      <c r="I419" s="1">
        <f t="shared" si="242"/>
        <v>7.8485748251073597E-3</v>
      </c>
      <c r="J419" s="1">
        <f t="shared" si="242"/>
        <v>1.8204545820634421</v>
      </c>
      <c r="K419" s="1">
        <f t="shared" si="242"/>
        <v>5.4694560724579109</v>
      </c>
    </row>
    <row r="420" spans="1:11" x14ac:dyDescent="0.35">
      <c r="A420" s="5"/>
      <c r="B420" s="5" t="str">
        <f t="shared" si="216"/>
        <v>SPS4</v>
      </c>
      <c r="C420" s="5" t="s">
        <v>7</v>
      </c>
      <c r="D420" t="s">
        <v>594</v>
      </c>
      <c r="E420" t="s">
        <v>8</v>
      </c>
      <c r="F420" s="1">
        <f>F417-F423</f>
        <v>2.3357581700715135</v>
      </c>
      <c r="G420" s="1">
        <f t="shared" ref="G420:K420" si="243">G417-G423</f>
        <v>1.4900201079534876E-3</v>
      </c>
      <c r="H420" s="1">
        <f t="shared" si="243"/>
        <v>7.1847063003762307E-3</v>
      </c>
      <c r="I420" s="1">
        <f t="shared" si="243"/>
        <v>7.8485748251073597E-3</v>
      </c>
      <c r="J420" s="1">
        <f t="shared" si="243"/>
        <v>1.2546935204983589</v>
      </c>
      <c r="K420" s="1">
        <f t="shared" si="243"/>
        <v>2.5102478046701298</v>
      </c>
    </row>
    <row r="421" spans="1:11" x14ac:dyDescent="0.35">
      <c r="A421" s="5"/>
      <c r="B421" s="5" t="str">
        <f t="shared" si="216"/>
        <v>SPS4</v>
      </c>
      <c r="C421" s="5" t="s">
        <v>7</v>
      </c>
      <c r="D421" t="s">
        <v>595</v>
      </c>
      <c r="E421" t="s">
        <v>8</v>
      </c>
      <c r="F421" s="1">
        <f>F418-F424</f>
        <v>0</v>
      </c>
      <c r="G421" s="1">
        <f t="shared" ref="G421:K421" si="244">G418-G424</f>
        <v>0</v>
      </c>
      <c r="H421" s="1">
        <f t="shared" si="244"/>
        <v>0</v>
      </c>
      <c r="I421" s="1">
        <f t="shared" si="244"/>
        <v>0</v>
      </c>
      <c r="J421" s="1">
        <f t="shared" si="244"/>
        <v>0.56576106156508321</v>
      </c>
      <c r="K421" s="1">
        <f t="shared" si="244"/>
        <v>2.9592082677877811</v>
      </c>
    </row>
    <row r="422" spans="1:11" x14ac:dyDescent="0.35">
      <c r="A422" s="5"/>
      <c r="B422" s="5" t="str">
        <f t="shared" si="216"/>
        <v>SPS4</v>
      </c>
      <c r="C422" s="5" t="s">
        <v>7</v>
      </c>
      <c r="D422" t="s">
        <v>870</v>
      </c>
      <c r="E422" t="s">
        <v>8</v>
      </c>
      <c r="F422" s="1">
        <f>SUM(F423:F424)</f>
        <v>6.0622653429891982E-2</v>
      </c>
      <c r="G422" s="1">
        <f t="shared" ref="G422:K422" si="245">SUM(G423:G424)</f>
        <v>3.0398620782342194E-5</v>
      </c>
      <c r="H422" s="1">
        <f t="shared" si="245"/>
        <v>4.9465931105458275E-4</v>
      </c>
      <c r="I422" s="1">
        <f t="shared" si="245"/>
        <v>7.4700259691912521E-4</v>
      </c>
      <c r="J422" s="1">
        <f t="shared" si="245"/>
        <v>5.3405317021518621E-2</v>
      </c>
      <c r="K422" s="1">
        <f t="shared" si="245"/>
        <v>7.0682826978728269E-2</v>
      </c>
    </row>
    <row r="423" spans="1:11" x14ac:dyDescent="0.35">
      <c r="A423" s="5"/>
      <c r="B423" s="5" t="str">
        <f t="shared" si="216"/>
        <v>SPS4</v>
      </c>
      <c r="C423" s="5" t="s">
        <v>7</v>
      </c>
      <c r="D423" t="s">
        <v>655</v>
      </c>
      <c r="E423" t="s">
        <v>8</v>
      </c>
      <c r="F423" s="1">
        <f>IFERROR(F344/F312,0)*F417</f>
        <v>6.0622653429891982E-2</v>
      </c>
      <c r="G423" s="1">
        <f t="shared" ref="G423:K423" si="246">IFERROR(G344/G312,0)*G417</f>
        <v>3.0398620782342194E-5</v>
      </c>
      <c r="H423" s="1">
        <f t="shared" si="246"/>
        <v>4.9465931105458275E-4</v>
      </c>
      <c r="I423" s="1">
        <f t="shared" si="246"/>
        <v>7.4700259691912521E-4</v>
      </c>
      <c r="J423" s="1">
        <f t="shared" si="246"/>
        <v>3.6808007124851695E-2</v>
      </c>
      <c r="K423" s="1">
        <f t="shared" si="246"/>
        <v>3.2440412520123869E-2</v>
      </c>
    </row>
    <row r="424" spans="1:11" x14ac:dyDescent="0.35">
      <c r="A424" s="5"/>
      <c r="B424" s="5" t="str">
        <f t="shared" si="216"/>
        <v>SPS4</v>
      </c>
      <c r="C424" s="5" t="s">
        <v>7</v>
      </c>
      <c r="D424" t="s">
        <v>656</v>
      </c>
      <c r="E424" t="s">
        <v>8</v>
      </c>
      <c r="F424" s="1">
        <f>IFERROR(F345/F313,0)*F418</f>
        <v>0</v>
      </c>
      <c r="G424" s="1">
        <f t="shared" ref="G424:K424" si="247">IFERROR(G345/G313,0)*G418</f>
        <v>0</v>
      </c>
      <c r="H424" s="1">
        <f t="shared" si="247"/>
        <v>0</v>
      </c>
      <c r="I424" s="1">
        <f t="shared" si="247"/>
        <v>0</v>
      </c>
      <c r="J424" s="1">
        <f t="shared" si="247"/>
        <v>1.6597309896666926E-2</v>
      </c>
      <c r="K424" s="1">
        <f t="shared" si="247"/>
        <v>3.82424144586044E-2</v>
      </c>
    </row>
    <row r="425" spans="1:11" x14ac:dyDescent="0.35">
      <c r="A425" s="5"/>
      <c r="B425" s="5" t="str">
        <f t="shared" si="216"/>
        <v>SPS4</v>
      </c>
      <c r="C425" s="5" t="s">
        <v>7</v>
      </c>
      <c r="D425" t="s">
        <v>871</v>
      </c>
      <c r="E425" t="s">
        <v>8</v>
      </c>
      <c r="F425" s="1">
        <f>SUM(F426:F427)</f>
        <v>36.420463065190226</v>
      </c>
      <c r="G425" s="1">
        <f t="shared" ref="G425:K425" si="248">SUM(G426:G427)</f>
        <v>34.687220231620302</v>
      </c>
      <c r="H425" s="1">
        <f t="shared" si="248"/>
        <v>34.732933644468602</v>
      </c>
      <c r="I425" s="1">
        <f t="shared" si="248"/>
        <v>34.428445408816984</v>
      </c>
      <c r="J425" s="1">
        <f t="shared" si="248"/>
        <v>33.842631524178543</v>
      </c>
      <c r="K425" s="1">
        <f t="shared" si="248"/>
        <v>37.565396887482819</v>
      </c>
    </row>
    <row r="426" spans="1:11" x14ac:dyDescent="0.35">
      <c r="A426" s="5"/>
      <c r="B426" s="5" t="str">
        <f t="shared" si="216"/>
        <v>SPS4</v>
      </c>
      <c r="C426" s="5" t="s">
        <v>7</v>
      </c>
      <c r="D426" t="s">
        <v>193</v>
      </c>
      <c r="E426" t="s">
        <v>8</v>
      </c>
      <c r="F426" s="1">
        <f>'[1]Electricity and CHPs_IN'!B$26-F359</f>
        <v>36.420463065190226</v>
      </c>
      <c r="G426" s="1">
        <f>'[1]Electricity and CHPs_IN'!C$26-G359</f>
        <v>34.687220231620302</v>
      </c>
      <c r="H426" s="1">
        <f>'[1]Electricity and CHPs_IN'!D$26-H359</f>
        <v>34.732933644468602</v>
      </c>
      <c r="I426" s="1">
        <f>'[1]Electricity and CHPs_IN'!E$26-I359</f>
        <v>34.428445408816984</v>
      </c>
      <c r="J426" s="1">
        <f>'[1]Electricity and CHPs_IN'!F$26-J359</f>
        <v>33.842631524178543</v>
      </c>
      <c r="K426" s="1">
        <f>'[1]Electricity and CHPs_IN'!G$26-K359</f>
        <v>37.565396887482819</v>
      </c>
    </row>
    <row r="427" spans="1:11" x14ac:dyDescent="0.35">
      <c r="A427" s="5"/>
      <c r="B427" s="5" t="str">
        <f t="shared" si="216"/>
        <v>SPS4</v>
      </c>
      <c r="C427" s="5" t="s">
        <v>7</v>
      </c>
      <c r="D427" t="s">
        <v>194</v>
      </c>
      <c r="E427" t="s">
        <v>8</v>
      </c>
      <c r="F427" s="1">
        <f>'[1]Electricity and CHPs_IN'!B$27-F360</f>
        <v>0</v>
      </c>
      <c r="G427" s="1">
        <f>'[1]Electricity and CHPs_IN'!C$27-G360</f>
        <v>0</v>
      </c>
      <c r="H427" s="1">
        <f>'[1]Electricity and CHPs_IN'!D$27-H360</f>
        <v>0</v>
      </c>
      <c r="I427" s="1">
        <f>'[1]Electricity and CHPs_IN'!E$27-I360</f>
        <v>0</v>
      </c>
      <c r="J427" s="1">
        <f>'[1]Electricity and CHPs_IN'!F$27-J360</f>
        <v>0</v>
      </c>
      <c r="K427" s="1">
        <f>'[1]Electricity and CHPs_IN'!G$27-K360</f>
        <v>0</v>
      </c>
    </row>
    <row r="428" spans="1:11" x14ac:dyDescent="0.35">
      <c r="A428" s="5"/>
      <c r="B428" s="5" t="str">
        <f t="shared" si="216"/>
        <v>SPS4</v>
      </c>
      <c r="C428" s="5" t="s">
        <v>7</v>
      </c>
      <c r="D428" t="s">
        <v>872</v>
      </c>
      <c r="E428" t="s">
        <v>8</v>
      </c>
      <c r="F428" s="1">
        <f>SUM(F429:F430)</f>
        <v>18.21023153259511</v>
      </c>
      <c r="G428" s="1">
        <f t="shared" ref="G428:K428" si="249">SUM(G429:G430)</f>
        <v>17.343610115810154</v>
      </c>
      <c r="H428" s="1">
        <f t="shared" si="249"/>
        <v>17.366466822234301</v>
      </c>
      <c r="I428" s="1">
        <f t="shared" si="249"/>
        <v>17.214222704408492</v>
      </c>
      <c r="J428" s="1">
        <f t="shared" si="249"/>
        <v>16.921315762089272</v>
      </c>
      <c r="K428" s="1">
        <f t="shared" si="249"/>
        <v>18.782698443741413</v>
      </c>
    </row>
    <row r="429" spans="1:11" x14ac:dyDescent="0.35">
      <c r="A429" s="5"/>
      <c r="B429" s="5" t="str">
        <f t="shared" si="216"/>
        <v>SPS4</v>
      </c>
      <c r="C429" s="5" t="s">
        <v>7</v>
      </c>
      <c r="D429" t="s">
        <v>195</v>
      </c>
      <c r="E429" t="s">
        <v>8</v>
      </c>
      <c r="F429" s="1">
        <f>IFERROR(F366/F359,0)*F426</f>
        <v>18.21023153259511</v>
      </c>
      <c r="G429" s="1">
        <f t="shared" ref="G429:K429" si="250">IFERROR(G366/G359,0)*G426</f>
        <v>17.343610115810154</v>
      </c>
      <c r="H429" s="1">
        <f t="shared" si="250"/>
        <v>17.366466822234301</v>
      </c>
      <c r="I429" s="1">
        <f t="shared" si="250"/>
        <v>17.214222704408492</v>
      </c>
      <c r="J429" s="1">
        <f t="shared" si="250"/>
        <v>16.921315762089272</v>
      </c>
      <c r="K429" s="1">
        <f t="shared" si="250"/>
        <v>18.782698443741413</v>
      </c>
    </row>
    <row r="430" spans="1:11" x14ac:dyDescent="0.35">
      <c r="A430" s="5"/>
      <c r="B430" s="5" t="str">
        <f t="shared" si="216"/>
        <v>SPS4</v>
      </c>
      <c r="C430" s="5" t="s">
        <v>7</v>
      </c>
      <c r="D430" t="s">
        <v>196</v>
      </c>
      <c r="E430" t="s">
        <v>8</v>
      </c>
      <c r="F430" s="1">
        <f>IFERROR(F367/F360,0)*F427</f>
        <v>0</v>
      </c>
      <c r="G430" s="1">
        <f t="shared" ref="G430:K430" si="251">IFERROR(G367/G360,0)*G427</f>
        <v>0</v>
      </c>
      <c r="H430" s="1">
        <f t="shared" si="251"/>
        <v>0</v>
      </c>
      <c r="I430" s="1">
        <f t="shared" si="251"/>
        <v>0</v>
      </c>
      <c r="J430" s="1">
        <f t="shared" si="251"/>
        <v>0</v>
      </c>
      <c r="K430" s="1">
        <f t="shared" si="251"/>
        <v>0</v>
      </c>
    </row>
    <row r="431" spans="1:11" x14ac:dyDescent="0.35">
      <c r="A431" s="5"/>
      <c r="B431" s="5" t="str">
        <f t="shared" si="216"/>
        <v>SPS4</v>
      </c>
      <c r="C431" s="5" t="s">
        <v>7</v>
      </c>
      <c r="D431" t="s">
        <v>873</v>
      </c>
      <c r="E431" t="s">
        <v>8</v>
      </c>
      <c r="F431" s="1">
        <f>SUM(F432:F433)</f>
        <v>18.210231532595117</v>
      </c>
      <c r="G431" s="1">
        <f t="shared" ref="G431:K431" si="252">SUM(G432:G433)</f>
        <v>17.343610115810147</v>
      </c>
      <c r="H431" s="1">
        <f t="shared" si="252"/>
        <v>17.366466822234301</v>
      </c>
      <c r="I431" s="1">
        <f t="shared" si="252"/>
        <v>17.214222704408492</v>
      </c>
      <c r="J431" s="1">
        <f t="shared" si="252"/>
        <v>16.921315762089272</v>
      </c>
      <c r="K431" s="1">
        <f t="shared" si="252"/>
        <v>18.782698443741406</v>
      </c>
    </row>
    <row r="432" spans="1:11" x14ac:dyDescent="0.35">
      <c r="A432" s="5"/>
      <c r="B432" s="5" t="str">
        <f t="shared" si="216"/>
        <v>SPS4</v>
      </c>
      <c r="C432" s="5" t="s">
        <v>7</v>
      </c>
      <c r="D432" t="s">
        <v>197</v>
      </c>
      <c r="E432" t="s">
        <v>8</v>
      </c>
      <c r="F432" s="1">
        <f>F426-F429</f>
        <v>18.210231532595117</v>
      </c>
      <c r="G432" s="1">
        <f t="shared" ref="G432:K432" si="253">G426-G429</f>
        <v>17.343610115810147</v>
      </c>
      <c r="H432" s="1">
        <f t="shared" si="253"/>
        <v>17.366466822234301</v>
      </c>
      <c r="I432" s="1">
        <f t="shared" si="253"/>
        <v>17.214222704408492</v>
      </c>
      <c r="J432" s="1">
        <f t="shared" si="253"/>
        <v>16.921315762089272</v>
      </c>
      <c r="K432" s="1">
        <f t="shared" si="253"/>
        <v>18.782698443741406</v>
      </c>
    </row>
    <row r="433" spans="1:11" x14ac:dyDescent="0.35">
      <c r="A433" s="5"/>
      <c r="B433" s="5" t="str">
        <f t="shared" si="216"/>
        <v>SPS4</v>
      </c>
      <c r="C433" s="5" t="s">
        <v>7</v>
      </c>
      <c r="D433" t="s">
        <v>198</v>
      </c>
      <c r="E433" t="s">
        <v>8</v>
      </c>
      <c r="F433" s="1">
        <f>F427-F430</f>
        <v>0</v>
      </c>
      <c r="G433" s="1">
        <f t="shared" ref="G433:K433" si="254">G427-G430</f>
        <v>0</v>
      </c>
      <c r="H433" s="1">
        <f t="shared" si="254"/>
        <v>0</v>
      </c>
      <c r="I433" s="1">
        <f t="shared" si="254"/>
        <v>0</v>
      </c>
      <c r="J433" s="1">
        <f t="shared" si="254"/>
        <v>0</v>
      </c>
      <c r="K433" s="1">
        <f t="shared" si="254"/>
        <v>0</v>
      </c>
    </row>
    <row r="434" spans="1:11" x14ac:dyDescent="0.35">
      <c r="A434" s="5"/>
      <c r="B434" s="5" t="str">
        <f t="shared" si="216"/>
        <v>SPS4</v>
      </c>
      <c r="C434" s="5" t="s">
        <v>7</v>
      </c>
      <c r="D434" t="s">
        <v>874</v>
      </c>
      <c r="E434" t="s">
        <v>8</v>
      </c>
      <c r="F434" s="1">
        <f>F435</f>
        <v>1.3399640688081118</v>
      </c>
      <c r="G434" s="1">
        <f t="shared" ref="G434:K434" si="255">G435</f>
        <v>0.26915127715677928</v>
      </c>
      <c r="H434" s="1">
        <f t="shared" si="255"/>
        <v>4.085674655566778E-3</v>
      </c>
      <c r="I434" s="1">
        <f t="shared" si="255"/>
        <v>2.6675468577030239</v>
      </c>
      <c r="J434" s="1">
        <f t="shared" si="255"/>
        <v>3.7065587068503039</v>
      </c>
      <c r="K434" s="1">
        <f t="shared" si="255"/>
        <v>4.6698866320218739</v>
      </c>
    </row>
    <row r="435" spans="1:11" x14ac:dyDescent="0.35">
      <c r="A435" s="5"/>
      <c r="B435" s="5" t="str">
        <f t="shared" si="216"/>
        <v>SPS4</v>
      </c>
      <c r="C435" s="5" t="s">
        <v>7</v>
      </c>
      <c r="D435" t="s">
        <v>199</v>
      </c>
      <c r="E435" t="s">
        <v>8</v>
      </c>
      <c r="F435" s="1">
        <f>'[1]Electricity and CHPs_IN'!B$25-F378</f>
        <v>1.3399640688081118</v>
      </c>
      <c r="G435" s="1">
        <f>'[1]Electricity and CHPs_IN'!C$25-G378</f>
        <v>0.26915127715677928</v>
      </c>
      <c r="H435" s="1">
        <f>'[1]Electricity and CHPs_IN'!D$25-H378</f>
        <v>4.085674655566778E-3</v>
      </c>
      <c r="I435" s="1">
        <f>'[1]Electricity and CHPs_IN'!E$25-I378</f>
        <v>2.6675468577030239</v>
      </c>
      <c r="J435" s="1">
        <f>'[1]Electricity and CHPs_IN'!F$25-J378</f>
        <v>3.7065587068503039</v>
      </c>
      <c r="K435" s="1">
        <f>'[1]Electricity and CHPs_IN'!G$25-K378</f>
        <v>4.6698866320218739</v>
      </c>
    </row>
    <row r="436" spans="1:11" x14ac:dyDescent="0.35">
      <c r="A436" s="5"/>
      <c r="B436" s="5" t="str">
        <f t="shared" ref="B436:B499" si="256">B435</f>
        <v>SPS4</v>
      </c>
      <c r="C436" s="5" t="s">
        <v>7</v>
      </c>
      <c r="D436" t="s">
        <v>875</v>
      </c>
      <c r="E436" t="s">
        <v>8</v>
      </c>
      <c r="F436" s="1">
        <f>+F437</f>
        <v>0</v>
      </c>
      <c r="G436" s="1">
        <f t="shared" ref="G436:K436" si="257">+G437</f>
        <v>0</v>
      </c>
      <c r="H436" s="1">
        <f t="shared" si="257"/>
        <v>0</v>
      </c>
      <c r="I436" s="1">
        <f t="shared" si="257"/>
        <v>0</v>
      </c>
      <c r="J436" s="1">
        <f t="shared" si="257"/>
        <v>0</v>
      </c>
      <c r="K436" s="1">
        <f t="shared" si="257"/>
        <v>0</v>
      </c>
    </row>
    <row r="437" spans="1:11" x14ac:dyDescent="0.35">
      <c r="A437" s="5"/>
      <c r="B437" s="5" t="str">
        <f t="shared" si="256"/>
        <v>SPS4</v>
      </c>
      <c r="C437" s="5" t="s">
        <v>7</v>
      </c>
      <c r="D437" t="s">
        <v>200</v>
      </c>
      <c r="E437" t="s">
        <v>8</v>
      </c>
      <c r="F437" s="1">
        <f>'[1]Electricity and CHPs_IN'!B$30-F396</f>
        <v>0</v>
      </c>
      <c r="G437" s="1">
        <f>'[1]Electricity and CHPs_IN'!C$30-G396</f>
        <v>0</v>
      </c>
      <c r="H437" s="1">
        <f>'[1]Electricity and CHPs_IN'!D$30-H396</f>
        <v>0</v>
      </c>
      <c r="I437" s="1">
        <f>'[1]Electricity and CHPs_IN'!E$30-I396</f>
        <v>0</v>
      </c>
      <c r="J437" s="1">
        <f>'[1]Electricity and CHPs_IN'!F$30-J396</f>
        <v>0</v>
      </c>
      <c r="K437" s="1">
        <f>'[1]Electricity and CHPs_IN'!G$30-K396</f>
        <v>0</v>
      </c>
    </row>
    <row r="438" spans="1:11" x14ac:dyDescent="0.35">
      <c r="A438" s="5"/>
      <c r="B438" s="5" t="str">
        <f t="shared" si="256"/>
        <v>SPS4</v>
      </c>
      <c r="C438" s="5" t="s">
        <v>7</v>
      </c>
      <c r="D438" t="s">
        <v>876</v>
      </c>
      <c r="E438" t="str">
        <f>E393</f>
        <v>PJ/yr.</v>
      </c>
      <c r="F438" s="1">
        <f>SUM(F439,F445,F447,F453,F455,F457,F459)</f>
        <v>7.6824683905570268</v>
      </c>
      <c r="G438" s="1">
        <f t="shared" ref="G438:K438" si="258">SUM(G439,G445,G447,G453,G455,G457,G459)</f>
        <v>12.185814431606797</v>
      </c>
      <c r="H438" s="1">
        <f t="shared" si="258"/>
        <v>9.6823636788756495</v>
      </c>
      <c r="I438" s="1">
        <f t="shared" si="258"/>
        <v>9.2190943530351053</v>
      </c>
      <c r="J438" s="1">
        <f t="shared" si="258"/>
        <v>7.5109311231251459</v>
      </c>
      <c r="K438" s="1">
        <f t="shared" si="258"/>
        <v>4.2155640172331852</v>
      </c>
    </row>
    <row r="439" spans="1:11" x14ac:dyDescent="0.35">
      <c r="A439" s="5"/>
      <c r="B439" s="5" t="str">
        <f t="shared" si="256"/>
        <v>SPS4</v>
      </c>
      <c r="C439" s="5" t="s">
        <v>7</v>
      </c>
      <c r="D439" t="s">
        <v>877</v>
      </c>
      <c r="E439" t="str">
        <f>E396</f>
        <v>PJ/yr.</v>
      </c>
      <c r="F439" s="1">
        <f>+F440</f>
        <v>4.3960272930802766</v>
      </c>
      <c r="G439" s="1">
        <f t="shared" ref="G439:K439" si="259">+G440</f>
        <v>5.5762153075960965</v>
      </c>
      <c r="H439" s="1">
        <f t="shared" si="259"/>
        <v>3.4646260683461403</v>
      </c>
      <c r="I439" s="1">
        <f t="shared" si="259"/>
        <v>5.9576336737331141</v>
      </c>
      <c r="J439" s="1">
        <f t="shared" si="259"/>
        <v>5.5807570576117573</v>
      </c>
      <c r="K439" s="1">
        <f t="shared" si="259"/>
        <v>2.377583243787261</v>
      </c>
    </row>
    <row r="440" spans="1:11" x14ac:dyDescent="0.35">
      <c r="A440" s="5"/>
      <c r="B440" s="5" t="str">
        <f t="shared" si="256"/>
        <v>SPS4</v>
      </c>
      <c r="C440" s="5" t="s">
        <v>7</v>
      </c>
      <c r="D440" t="s">
        <v>201</v>
      </c>
      <c r="E440" t="str">
        <f>E397</f>
        <v>PJ/yr.</v>
      </c>
      <c r="F440" s="1">
        <f>SUM(F442:F444)</f>
        <v>4.3960272930802766</v>
      </c>
      <c r="G440" s="1">
        <f t="shared" ref="G440:K440" si="260">SUM(G442:G444)</f>
        <v>5.5762153075960965</v>
      </c>
      <c r="H440" s="1">
        <f t="shared" si="260"/>
        <v>3.4646260683461403</v>
      </c>
      <c r="I440" s="1">
        <f t="shared" si="260"/>
        <v>5.9576336737331141</v>
      </c>
      <c r="J440" s="1">
        <f t="shared" si="260"/>
        <v>5.5807570576117573</v>
      </c>
      <c r="K440" s="1">
        <f t="shared" si="260"/>
        <v>2.377583243787261</v>
      </c>
    </row>
    <row r="441" spans="1:11" x14ac:dyDescent="0.35">
      <c r="A441" s="5"/>
      <c r="B441" s="5" t="str">
        <f t="shared" si="256"/>
        <v>SPS4</v>
      </c>
      <c r="C441" s="5" t="s">
        <v>7</v>
      </c>
      <c r="D441" t="s">
        <v>878</v>
      </c>
      <c r="E441" t="str">
        <f>E396</f>
        <v>PJ/yr.</v>
      </c>
      <c r="F441" s="1">
        <f>F442</f>
        <v>2.0280941522868652</v>
      </c>
      <c r="G441" s="1">
        <f t="shared" ref="G441:K441" si="261">G442</f>
        <v>3.2083014103802703</v>
      </c>
      <c r="H441" s="1">
        <f t="shared" si="261"/>
        <v>1.0967068944791534</v>
      </c>
      <c r="I441" s="1">
        <f t="shared" si="261"/>
        <v>3.5897258602801605</v>
      </c>
      <c r="J441" s="1">
        <f t="shared" si="261"/>
        <v>3.212838654339965</v>
      </c>
      <c r="K441" s="1">
        <f t="shared" si="261"/>
        <v>9.6581353323272612E-3</v>
      </c>
    </row>
    <row r="442" spans="1:11" x14ac:dyDescent="0.35">
      <c r="A442" s="5"/>
      <c r="B442" s="5" t="str">
        <f t="shared" si="256"/>
        <v>SPS4</v>
      </c>
      <c r="C442" s="5" t="s">
        <v>7</v>
      </c>
      <c r="D442" t="s">
        <v>596</v>
      </c>
      <c r="E442" t="str">
        <f>E397</f>
        <v>PJ/yr.</v>
      </c>
      <c r="F442" s="1">
        <f>'[1]Electricity and CHPs_IN'!B$90</f>
        <v>2.0280941522868652</v>
      </c>
      <c r="G442" s="1">
        <f>'[1]Electricity and CHPs_IN'!C$90</f>
        <v>3.2083014103802703</v>
      </c>
      <c r="H442" s="1">
        <f>'[1]Electricity and CHPs_IN'!D$90</f>
        <v>1.0967068944791534</v>
      </c>
      <c r="I442" s="1">
        <f>'[1]Electricity and CHPs_IN'!E$90</f>
        <v>3.5897258602801605</v>
      </c>
      <c r="J442" s="1">
        <f>'[1]Electricity and CHPs_IN'!F$90</f>
        <v>3.212838654339965</v>
      </c>
      <c r="K442" s="1">
        <f>'[1]Electricity and CHPs_IN'!G$90</f>
        <v>9.6581353323272612E-3</v>
      </c>
    </row>
    <row r="443" spans="1:11" x14ac:dyDescent="0.35">
      <c r="A443" s="5"/>
      <c r="B443" s="5" t="str">
        <f t="shared" si="256"/>
        <v>SPS4</v>
      </c>
      <c r="C443" s="5" t="s">
        <v>7</v>
      </c>
      <c r="D443" t="s">
        <v>879</v>
      </c>
      <c r="E443" t="str">
        <f>E397</f>
        <v>PJ/yr.</v>
      </c>
      <c r="F443" s="1">
        <f>F444</f>
        <v>1.1839665703967057</v>
      </c>
      <c r="G443" s="1">
        <f t="shared" ref="G443:K443" si="262">G444</f>
        <v>1.1839569486079131</v>
      </c>
      <c r="H443" s="1">
        <f t="shared" si="262"/>
        <v>1.1839595869334933</v>
      </c>
      <c r="I443" s="1">
        <f t="shared" si="262"/>
        <v>1.1839539067264768</v>
      </c>
      <c r="J443" s="1">
        <f t="shared" si="262"/>
        <v>1.1839592016358964</v>
      </c>
      <c r="K443" s="1">
        <f t="shared" si="262"/>
        <v>1.183962554227467</v>
      </c>
    </row>
    <row r="444" spans="1:11" x14ac:dyDescent="0.35">
      <c r="A444" s="5"/>
      <c r="B444" s="5" t="str">
        <f t="shared" si="256"/>
        <v>SPS4</v>
      </c>
      <c r="C444" s="5" t="s">
        <v>7</v>
      </c>
      <c r="D444" t="s">
        <v>657</v>
      </c>
      <c r="E444" t="str">
        <f>E398</f>
        <v>PJ/yr.</v>
      </c>
      <c r="F444" s="1">
        <f>'[1]Electricity and CHPs_IN'!B$91</f>
        <v>1.1839665703967057</v>
      </c>
      <c r="G444" s="1">
        <f>'[1]Electricity and CHPs_IN'!C$91</f>
        <v>1.1839569486079131</v>
      </c>
      <c r="H444" s="1">
        <f>'[1]Electricity and CHPs_IN'!D$91</f>
        <v>1.1839595869334933</v>
      </c>
      <c r="I444" s="1">
        <f>'[1]Electricity and CHPs_IN'!E$91</f>
        <v>1.1839539067264768</v>
      </c>
      <c r="J444" s="1">
        <f>'[1]Electricity and CHPs_IN'!F$91</f>
        <v>1.1839592016358964</v>
      </c>
      <c r="K444" s="1">
        <f>'[1]Electricity and CHPs_IN'!G$91</f>
        <v>1.183962554227467</v>
      </c>
    </row>
    <row r="445" spans="1:11" x14ac:dyDescent="0.35">
      <c r="A445" s="5"/>
      <c r="B445" s="5" t="str">
        <f t="shared" si="256"/>
        <v>SPS4</v>
      </c>
      <c r="C445" s="5" t="s">
        <v>7</v>
      </c>
      <c r="D445" t="s">
        <v>880</v>
      </c>
      <c r="E445" t="str">
        <f>E398</f>
        <v>PJ/yr.</v>
      </c>
      <c r="F445" s="1">
        <f>F446</f>
        <v>1.4500356790805038</v>
      </c>
      <c r="G445" s="1">
        <f t="shared" ref="G445:K445" si="263">G446</f>
        <v>3.8018551181461344</v>
      </c>
      <c r="H445" s="1">
        <f t="shared" si="263"/>
        <v>3.8005505190406987</v>
      </c>
      <c r="I445" s="1">
        <f t="shared" si="263"/>
        <v>1.0694499572352101</v>
      </c>
      <c r="J445" s="1">
        <f t="shared" si="263"/>
        <v>0</v>
      </c>
      <c r="K445" s="1">
        <f t="shared" si="263"/>
        <v>0</v>
      </c>
    </row>
    <row r="446" spans="1:11" x14ac:dyDescent="0.35">
      <c r="A446" s="5"/>
      <c r="B446" s="5" t="str">
        <f t="shared" si="256"/>
        <v>SPS4</v>
      </c>
      <c r="C446" s="5" t="s">
        <v>7</v>
      </c>
      <c r="D446" t="s">
        <v>202</v>
      </c>
      <c r="E446" t="str">
        <f>E399</f>
        <v>PJ/yr.</v>
      </c>
      <c r="F446" s="1">
        <f>'[1]Electricity and CHPs_IN'!B$92</f>
        <v>1.4500356790805038</v>
      </c>
      <c r="G446" s="1">
        <f>'[1]Electricity and CHPs_IN'!C$92</f>
        <v>3.8018551181461344</v>
      </c>
      <c r="H446" s="1">
        <f>'[1]Electricity and CHPs_IN'!D$92</f>
        <v>3.8005505190406987</v>
      </c>
      <c r="I446" s="1">
        <f>'[1]Electricity and CHPs_IN'!E$92</f>
        <v>1.0694499572352101</v>
      </c>
      <c r="J446" s="1">
        <f>'[1]Electricity and CHPs_IN'!F$92</f>
        <v>0</v>
      </c>
      <c r="K446" s="1">
        <f>'[1]Electricity and CHPs_IN'!G$92</f>
        <v>0</v>
      </c>
    </row>
    <row r="447" spans="1:11" x14ac:dyDescent="0.35">
      <c r="A447" s="5"/>
      <c r="B447" s="5" t="str">
        <f t="shared" si="256"/>
        <v>SPS4</v>
      </c>
      <c r="C447" s="5" t="s">
        <v>7</v>
      </c>
      <c r="D447" t="s">
        <v>881</v>
      </c>
      <c r="E447" t="str">
        <f>E399</f>
        <v>PJ/yr.</v>
      </c>
      <c r="F447" s="1">
        <f>F448</f>
        <v>0.2154475956695007</v>
      </c>
      <c r="G447" s="1">
        <f t="shared" ref="G447:K447" si="264">G448</f>
        <v>0.21745155401823268</v>
      </c>
      <c r="H447" s="1">
        <f t="shared" si="264"/>
        <v>1.3801990024290313E-3</v>
      </c>
      <c r="I447" s="1">
        <f t="shared" si="264"/>
        <v>6.2186664213662653E-4</v>
      </c>
      <c r="J447" s="1">
        <f t="shared" si="264"/>
        <v>2.9410655698876824E-4</v>
      </c>
      <c r="K447" s="1">
        <f t="shared" si="264"/>
        <v>2.1300002581576687E-4</v>
      </c>
    </row>
    <row r="448" spans="1:11" x14ac:dyDescent="0.35">
      <c r="A448" s="5"/>
      <c r="B448" s="5" t="str">
        <f t="shared" si="256"/>
        <v>SPS4</v>
      </c>
      <c r="C448" s="5" t="s">
        <v>7</v>
      </c>
      <c r="D448" t="s">
        <v>203</v>
      </c>
      <c r="E448" t="str">
        <f>E400</f>
        <v>PJ/yr.</v>
      </c>
      <c r="F448" s="1">
        <f>'[1]Electricity and CHPs_IN'!B$93</f>
        <v>0.2154475956695007</v>
      </c>
      <c r="G448" s="1">
        <f>'[1]Electricity and CHPs_IN'!C$93</f>
        <v>0.21745155401823268</v>
      </c>
      <c r="H448" s="1">
        <f>'[1]Electricity and CHPs_IN'!D$93</f>
        <v>1.3801990024290313E-3</v>
      </c>
      <c r="I448" s="1">
        <f>'[1]Electricity and CHPs_IN'!E$93</f>
        <v>6.2186664213662653E-4</v>
      </c>
      <c r="J448" s="1">
        <f>'[1]Electricity and CHPs_IN'!F$93</f>
        <v>2.9410655698876824E-4</v>
      </c>
      <c r="K448" s="1">
        <f>'[1]Electricity and CHPs_IN'!G$93</f>
        <v>2.1300002581576687E-4</v>
      </c>
    </row>
    <row r="449" spans="1:11" x14ac:dyDescent="0.35">
      <c r="A449" s="5"/>
      <c r="B449" s="5" t="str">
        <f t="shared" si="256"/>
        <v>SPS4</v>
      </c>
      <c r="C449" s="5" t="s">
        <v>7</v>
      </c>
      <c r="D449" t="s">
        <v>883</v>
      </c>
      <c r="E449" t="str">
        <f>E399</f>
        <v>PJ/yr.</v>
      </c>
      <c r="F449" s="1">
        <f>F450</f>
        <v>0.2154475956695007</v>
      </c>
      <c r="G449" s="1">
        <f t="shared" ref="G449:K449" si="265">G450</f>
        <v>0.21745155401823268</v>
      </c>
      <c r="H449" s="1">
        <f t="shared" si="265"/>
        <v>1.3801990024290313E-3</v>
      </c>
      <c r="I449" s="1">
        <f t="shared" si="265"/>
        <v>6.2186664213662653E-4</v>
      </c>
      <c r="J449" s="1">
        <f t="shared" si="265"/>
        <v>2.9410655698876824E-4</v>
      </c>
      <c r="K449" s="1">
        <f t="shared" si="265"/>
        <v>2.1300002581576687E-4</v>
      </c>
    </row>
    <row r="450" spans="1:11" x14ac:dyDescent="0.35">
      <c r="A450" s="5"/>
      <c r="B450" s="5" t="str">
        <f t="shared" si="256"/>
        <v>SPS4</v>
      </c>
      <c r="C450" s="5" t="s">
        <v>7</v>
      </c>
      <c r="D450" t="s">
        <v>882</v>
      </c>
      <c r="E450" t="str">
        <f>E400</f>
        <v>PJ/yr.</v>
      </c>
      <c r="F450" s="1">
        <f>F448</f>
        <v>0.2154475956695007</v>
      </c>
      <c r="G450" s="1">
        <f t="shared" ref="G450:K450" si="266">G448</f>
        <v>0.21745155401823268</v>
      </c>
      <c r="H450" s="1">
        <f t="shared" si="266"/>
        <v>1.3801990024290313E-3</v>
      </c>
      <c r="I450" s="1">
        <f t="shared" si="266"/>
        <v>6.2186664213662653E-4</v>
      </c>
      <c r="J450" s="1">
        <f t="shared" si="266"/>
        <v>2.9410655698876824E-4</v>
      </c>
      <c r="K450" s="1">
        <f t="shared" si="266"/>
        <v>2.1300002581576687E-4</v>
      </c>
    </row>
    <row r="451" spans="1:11" x14ac:dyDescent="0.35">
      <c r="A451" s="5"/>
      <c r="B451" s="5" t="str">
        <f t="shared" si="256"/>
        <v>SPS4</v>
      </c>
      <c r="C451" s="5" t="s">
        <v>7</v>
      </c>
      <c r="D451" t="s">
        <v>885</v>
      </c>
      <c r="E451" t="str">
        <f>E400</f>
        <v>PJ/yr.</v>
      </c>
      <c r="F451" s="1">
        <f>F452</f>
        <v>0</v>
      </c>
      <c r="G451" s="1">
        <f t="shared" ref="G451:K451" si="267">G452</f>
        <v>0</v>
      </c>
      <c r="H451" s="1">
        <f t="shared" si="267"/>
        <v>0</v>
      </c>
      <c r="I451" s="1">
        <f t="shared" si="267"/>
        <v>0</v>
      </c>
      <c r="J451" s="1">
        <f t="shared" si="267"/>
        <v>0</v>
      </c>
      <c r="K451" s="1">
        <f t="shared" si="267"/>
        <v>0</v>
      </c>
    </row>
    <row r="452" spans="1:11" x14ac:dyDescent="0.35">
      <c r="A452" s="5"/>
      <c r="B452" s="5" t="str">
        <f t="shared" si="256"/>
        <v>SPS4</v>
      </c>
      <c r="C452" s="5" t="s">
        <v>7</v>
      </c>
      <c r="D452" t="s">
        <v>884</v>
      </c>
      <c r="E452" t="str">
        <f>E401</f>
        <v>PJ/yr.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</row>
    <row r="453" spans="1:11" x14ac:dyDescent="0.35">
      <c r="A453" s="5"/>
      <c r="B453" s="5" t="str">
        <f t="shared" si="256"/>
        <v>SPS4</v>
      </c>
      <c r="C453" s="5" t="s">
        <v>7</v>
      </c>
      <c r="D453" t="s">
        <v>886</v>
      </c>
      <c r="E453" t="str">
        <f>E400</f>
        <v>PJ/yr.</v>
      </c>
      <c r="F453" s="1">
        <f>F454</f>
        <v>1.6209578227267463</v>
      </c>
      <c r="G453" s="1">
        <f t="shared" ref="G453:K453" si="268">G454</f>
        <v>1.4629083553312343</v>
      </c>
      <c r="H453" s="1">
        <f t="shared" si="268"/>
        <v>1.2542616468714516</v>
      </c>
      <c r="I453" s="1">
        <f t="shared" si="268"/>
        <v>0.9705181480688656</v>
      </c>
      <c r="J453" s="1">
        <f t="shared" si="268"/>
        <v>0.58111969138054176</v>
      </c>
      <c r="K453" s="1">
        <f t="shared" si="268"/>
        <v>0.34794687170323346</v>
      </c>
    </row>
    <row r="454" spans="1:11" x14ac:dyDescent="0.35">
      <c r="A454" s="5"/>
      <c r="B454" s="5" t="str">
        <f t="shared" si="256"/>
        <v>SPS4</v>
      </c>
      <c r="C454" s="5" t="s">
        <v>7</v>
      </c>
      <c r="D454" t="s">
        <v>204</v>
      </c>
      <c r="E454" t="str">
        <f>E401</f>
        <v>PJ/yr.</v>
      </c>
      <c r="F454" s="1">
        <f>'[1]Electricity and CHPs_IN'!B$94</f>
        <v>1.6209578227267463</v>
      </c>
      <c r="G454" s="1">
        <f>'[1]Electricity and CHPs_IN'!C$94</f>
        <v>1.4629083553312343</v>
      </c>
      <c r="H454" s="1">
        <f>'[1]Electricity and CHPs_IN'!D$94</f>
        <v>1.2542616468714516</v>
      </c>
      <c r="I454" s="1">
        <f>'[1]Electricity and CHPs_IN'!E$94</f>
        <v>0.9705181480688656</v>
      </c>
      <c r="J454" s="1">
        <f>'[1]Electricity and CHPs_IN'!F$94</f>
        <v>0.58111969138054176</v>
      </c>
      <c r="K454" s="1">
        <f>'[1]Electricity and CHPs_IN'!G$94</f>
        <v>0.34794687170323346</v>
      </c>
    </row>
    <row r="455" spans="1:11" x14ac:dyDescent="0.35">
      <c r="A455" s="5"/>
      <c r="B455" s="5" t="str">
        <f t="shared" si="256"/>
        <v>SPS4</v>
      </c>
      <c r="C455" s="5" t="s">
        <v>7</v>
      </c>
      <c r="D455" t="s">
        <v>887</v>
      </c>
      <c r="E455" t="str">
        <f>E401</f>
        <v>PJ/yr.</v>
      </c>
      <c r="F455" s="1">
        <f>F456</f>
        <v>0</v>
      </c>
      <c r="G455" s="1">
        <f t="shared" ref="G455:K455" si="269">G456</f>
        <v>0</v>
      </c>
      <c r="H455" s="1">
        <f t="shared" si="269"/>
        <v>0</v>
      </c>
      <c r="I455" s="1">
        <f t="shared" si="269"/>
        <v>7.4470674295132382E-5</v>
      </c>
      <c r="J455" s="1">
        <f t="shared" si="269"/>
        <v>8.6477910470254425E-5</v>
      </c>
      <c r="K455" s="1">
        <f t="shared" si="269"/>
        <v>8.7497494530405442E-5</v>
      </c>
    </row>
    <row r="456" spans="1:11" x14ac:dyDescent="0.35">
      <c r="A456" s="5"/>
      <c r="B456" s="5" t="str">
        <f t="shared" si="256"/>
        <v>SPS4</v>
      </c>
      <c r="C456" s="5" t="s">
        <v>7</v>
      </c>
      <c r="D456" t="s">
        <v>205</v>
      </c>
      <c r="E456" t="str">
        <f>E402</f>
        <v>PJ/yr.</v>
      </c>
      <c r="F456" s="1">
        <f>'[1]Electricity and CHPs_IN'!B$95</f>
        <v>0</v>
      </c>
      <c r="G456" s="1">
        <f>'[1]Electricity and CHPs_IN'!C$95</f>
        <v>0</v>
      </c>
      <c r="H456" s="1">
        <f>'[1]Electricity and CHPs_IN'!D$95</f>
        <v>0</v>
      </c>
      <c r="I456" s="1">
        <f>'[1]Electricity and CHPs_IN'!E$95</f>
        <v>7.4470674295132382E-5</v>
      </c>
      <c r="J456" s="1">
        <f>'[1]Electricity and CHPs_IN'!F$95</f>
        <v>8.6477910470254425E-5</v>
      </c>
      <c r="K456" s="1">
        <f>'[1]Electricity and CHPs_IN'!G$95</f>
        <v>8.7497494530405442E-5</v>
      </c>
    </row>
    <row r="457" spans="1:11" x14ac:dyDescent="0.35">
      <c r="A457" s="5"/>
      <c r="B457" s="5" t="str">
        <f t="shared" si="256"/>
        <v>SPS4</v>
      </c>
      <c r="C457" s="5" t="s">
        <v>7</v>
      </c>
      <c r="D457" t="s">
        <v>888</v>
      </c>
      <c r="E457" t="str">
        <f>E402</f>
        <v>PJ/yr.</v>
      </c>
      <c r="F457" s="1">
        <f>F458</f>
        <v>0</v>
      </c>
      <c r="G457" s="1">
        <f t="shared" ref="G457:K457" si="270">G458</f>
        <v>0</v>
      </c>
      <c r="H457" s="1">
        <f t="shared" si="270"/>
        <v>0</v>
      </c>
      <c r="I457" s="1">
        <f t="shared" si="270"/>
        <v>0</v>
      </c>
      <c r="J457" s="1">
        <f t="shared" si="270"/>
        <v>1.5350074133153125E-4</v>
      </c>
      <c r="K457" s="1">
        <f t="shared" si="270"/>
        <v>1.2727913964069858E-4</v>
      </c>
    </row>
    <row r="458" spans="1:11" x14ac:dyDescent="0.35">
      <c r="A458" s="5"/>
      <c r="B458" s="5" t="str">
        <f t="shared" si="256"/>
        <v>SPS4</v>
      </c>
      <c r="C458" s="5" t="s">
        <v>7</v>
      </c>
      <c r="D458" t="s">
        <v>232</v>
      </c>
      <c r="E458" t="str">
        <f>E403</f>
        <v>PJ/yr.</v>
      </c>
      <c r="F458" s="1">
        <f>'[1]Electricity and CHPs_IN'!B$96</f>
        <v>0</v>
      </c>
      <c r="G458" s="1">
        <f>'[1]Electricity and CHPs_IN'!C$96</f>
        <v>0</v>
      </c>
      <c r="H458" s="1">
        <f>'[1]Electricity and CHPs_IN'!D$96</f>
        <v>0</v>
      </c>
      <c r="I458" s="1">
        <f>'[1]Electricity and CHPs_IN'!E$96</f>
        <v>0</v>
      </c>
      <c r="J458" s="1">
        <f>'[1]Electricity and CHPs_IN'!F$96</f>
        <v>1.5350074133153125E-4</v>
      </c>
      <c r="K458" s="1">
        <f>'[1]Electricity and CHPs_IN'!G$96</f>
        <v>1.2727913964069858E-4</v>
      </c>
    </row>
    <row r="459" spans="1:11" x14ac:dyDescent="0.35">
      <c r="A459" s="5"/>
      <c r="B459" s="5" t="str">
        <f t="shared" si="256"/>
        <v>SPS4</v>
      </c>
      <c r="C459" s="5" t="s">
        <v>7</v>
      </c>
      <c r="D459" t="s">
        <v>889</v>
      </c>
      <c r="E459" t="str">
        <f>E402</f>
        <v>PJ/yr.</v>
      </c>
      <c r="F459" s="1">
        <f>F460</f>
        <v>0</v>
      </c>
      <c r="G459" s="1">
        <f t="shared" ref="G459" si="271">G460</f>
        <v>1.1273840965151012</v>
      </c>
      <c r="H459" s="1">
        <f>H460</f>
        <v>1.1615452456149291</v>
      </c>
      <c r="I459" s="1">
        <f t="shared" ref="I459" si="272">I460</f>
        <v>1.2207962366814848</v>
      </c>
      <c r="J459" s="1">
        <f t="shared" ref="J459" si="273">J460</f>
        <v>1.348520288924058</v>
      </c>
      <c r="K459" s="1">
        <f t="shared" ref="K459" si="274">K460</f>
        <v>1.4896061250827037</v>
      </c>
    </row>
    <row r="460" spans="1:11" x14ac:dyDescent="0.35">
      <c r="A460" s="5"/>
      <c r="B460" s="5" t="str">
        <f t="shared" si="256"/>
        <v>SPS4</v>
      </c>
      <c r="C460" s="5" t="s">
        <v>7</v>
      </c>
      <c r="D460" t="s">
        <v>890</v>
      </c>
      <c r="E460" t="str">
        <f>E403</f>
        <v>PJ/yr.</v>
      </c>
      <c r="F460" s="1">
        <f>'[1]Electricity and CHPs_IN'!B$97</f>
        <v>0</v>
      </c>
      <c r="G460" s="1">
        <f>'[1]Electricity and CHPs_IN'!C$97</f>
        <v>1.1273840965151012</v>
      </c>
      <c r="H460" s="1">
        <f>'[1]Electricity and CHPs_IN'!D$97</f>
        <v>1.1615452456149291</v>
      </c>
      <c r="I460" s="1">
        <f>'[1]Electricity and CHPs_IN'!E$97</f>
        <v>1.2207962366814848</v>
      </c>
      <c r="J460" s="1">
        <f>'[1]Electricity and CHPs_IN'!F$97</f>
        <v>1.348520288924058</v>
      </c>
      <c r="K460" s="1">
        <f>'[1]Electricity and CHPs_IN'!G$97</f>
        <v>1.4896061250827037</v>
      </c>
    </row>
    <row r="461" spans="1:11" x14ac:dyDescent="0.35">
      <c r="A461" s="5"/>
      <c r="B461" s="5" t="str">
        <f t="shared" si="256"/>
        <v>SPS4</v>
      </c>
      <c r="C461" s="5" t="s">
        <v>7</v>
      </c>
      <c r="D461" t="s">
        <v>891</v>
      </c>
      <c r="E461" t="str">
        <f>E397</f>
        <v>PJ/yr.</v>
      </c>
      <c r="F461" s="1">
        <f>SUM(F462,F468,F501,F510,F516)</f>
        <v>7.9224773505271457</v>
      </c>
      <c r="G461" s="1">
        <f t="shared" ref="G461:K461" si="275">SUM(G462,G468,G501,G510,G516)</f>
        <v>8.6287986171588678</v>
      </c>
      <c r="H461" s="1">
        <f t="shared" si="275"/>
        <v>10.097845650608914</v>
      </c>
      <c r="I461" s="1">
        <f t="shared" si="275"/>
        <v>12.183437889364631</v>
      </c>
      <c r="J461" s="1">
        <f t="shared" si="275"/>
        <v>22.791284227101222</v>
      </c>
      <c r="K461" s="1">
        <f t="shared" si="275"/>
        <v>24.769541678785323</v>
      </c>
    </row>
    <row r="462" spans="1:11" x14ac:dyDescent="0.35">
      <c r="A462" s="5"/>
      <c r="B462" s="5" t="str">
        <f t="shared" si="256"/>
        <v>SPS4</v>
      </c>
      <c r="C462" s="5" t="s">
        <v>7</v>
      </c>
      <c r="D462" t="s">
        <v>892</v>
      </c>
      <c r="E462" t="str">
        <f>E397</f>
        <v>PJ/yr.</v>
      </c>
      <c r="F462" s="1">
        <f>+F463</f>
        <v>0.27488123205725823</v>
      </c>
      <c r="G462" s="1">
        <f t="shared" ref="G462:K462" si="276">+G463</f>
        <v>0.64172379792296852</v>
      </c>
      <c r="H462" s="1">
        <f t="shared" si="276"/>
        <v>1.1366406754743114E-2</v>
      </c>
      <c r="I462" s="1">
        <f t="shared" si="276"/>
        <v>0.57398206924546902</v>
      </c>
      <c r="J462" s="1">
        <f t="shared" si="276"/>
        <v>4.9744853436745215E-2</v>
      </c>
      <c r="K462" s="1">
        <f t="shared" si="276"/>
        <v>0.44804101835761134</v>
      </c>
    </row>
    <row r="463" spans="1:11" x14ac:dyDescent="0.35">
      <c r="A463" s="5"/>
      <c r="B463" s="5" t="str">
        <f t="shared" si="256"/>
        <v>SPS4</v>
      </c>
      <c r="C463" s="5" t="s">
        <v>7</v>
      </c>
      <c r="D463" t="s">
        <v>206</v>
      </c>
      <c r="E463" t="str">
        <f>E398</f>
        <v>PJ/yr.</v>
      </c>
      <c r="F463" s="1">
        <f>'[1]Electricity and CHPs_IN'!B$41-F299</f>
        <v>0.27488123205725823</v>
      </c>
      <c r="G463" s="1">
        <f>'[1]Electricity and CHPs_IN'!C$41-G299</f>
        <v>0.64172379792296852</v>
      </c>
      <c r="H463" s="1">
        <f>'[1]Electricity and CHPs_IN'!D$41-H299</f>
        <v>1.1366406754743114E-2</v>
      </c>
      <c r="I463" s="1">
        <f>'[1]Electricity and CHPs_IN'!E$41-I299</f>
        <v>0.57398206924546902</v>
      </c>
      <c r="J463" s="1">
        <f>'[1]Electricity and CHPs_IN'!F$41-J299</f>
        <v>4.9744853436745215E-2</v>
      </c>
      <c r="K463" s="1">
        <f>'[1]Electricity and CHPs_IN'!G$41-K299</f>
        <v>0.44804101835761134</v>
      </c>
    </row>
    <row r="464" spans="1:11" x14ac:dyDescent="0.35">
      <c r="A464" s="5"/>
      <c r="B464" s="5" t="str">
        <f t="shared" si="256"/>
        <v>SPS4</v>
      </c>
      <c r="C464" s="5" t="s">
        <v>7</v>
      </c>
      <c r="D464" t="s">
        <v>894</v>
      </c>
      <c r="E464" t="str">
        <f>E397</f>
        <v>PJ/yr.</v>
      </c>
      <c r="F464" s="1">
        <f>F465</f>
        <v>0.27488123205725823</v>
      </c>
      <c r="G464" s="1">
        <f t="shared" ref="G464:K464" si="277">G465</f>
        <v>0.64172379792296852</v>
      </c>
      <c r="H464" s="1">
        <f t="shared" si="277"/>
        <v>1.1366406754743114E-2</v>
      </c>
      <c r="I464" s="1">
        <f t="shared" si="277"/>
        <v>0.57398206924546902</v>
      </c>
      <c r="J464" s="1">
        <f t="shared" si="277"/>
        <v>4.9744853436745215E-2</v>
      </c>
      <c r="K464" s="1">
        <f t="shared" si="277"/>
        <v>0.44804101835761134</v>
      </c>
    </row>
    <row r="465" spans="1:11" x14ac:dyDescent="0.35">
      <c r="A465" s="5"/>
      <c r="B465" s="5" t="str">
        <f t="shared" si="256"/>
        <v>SPS4</v>
      </c>
      <c r="C465" s="5" t="s">
        <v>7</v>
      </c>
      <c r="D465" t="s">
        <v>524</v>
      </c>
      <c r="E465" t="str">
        <f>E398</f>
        <v>PJ/yr.</v>
      </c>
      <c r="F465" s="1">
        <f>F463-F467</f>
        <v>0.27488123205725823</v>
      </c>
      <c r="G465" s="1">
        <f t="shared" ref="G465:K465" si="278">G463-G467</f>
        <v>0.64172379792296852</v>
      </c>
      <c r="H465" s="1">
        <f t="shared" si="278"/>
        <v>1.1366406754743114E-2</v>
      </c>
      <c r="I465" s="1">
        <f t="shared" si="278"/>
        <v>0.57398206924546902</v>
      </c>
      <c r="J465" s="1">
        <f t="shared" si="278"/>
        <v>4.9744853436745215E-2</v>
      </c>
      <c r="K465" s="1">
        <f t="shared" si="278"/>
        <v>0.44804101835761134</v>
      </c>
    </row>
    <row r="466" spans="1:11" x14ac:dyDescent="0.35">
      <c r="A466" s="5"/>
      <c r="B466" s="5" t="str">
        <f t="shared" si="256"/>
        <v>SPS4</v>
      </c>
      <c r="C466" s="5" t="s">
        <v>7</v>
      </c>
      <c r="D466" t="s">
        <v>895</v>
      </c>
      <c r="E466" t="str">
        <f>E398</f>
        <v>PJ/yr.</v>
      </c>
      <c r="F466" s="1">
        <f>F467</f>
        <v>0</v>
      </c>
      <c r="G466" s="1">
        <f t="shared" ref="G466:K466" si="279">G467</f>
        <v>0</v>
      </c>
      <c r="H466" s="1">
        <f t="shared" si="279"/>
        <v>0</v>
      </c>
      <c r="I466" s="1">
        <f t="shared" si="279"/>
        <v>0</v>
      </c>
      <c r="J466" s="1">
        <f t="shared" si="279"/>
        <v>0</v>
      </c>
      <c r="K466" s="1">
        <f t="shared" si="279"/>
        <v>0</v>
      </c>
    </row>
    <row r="467" spans="1:11" x14ac:dyDescent="0.35">
      <c r="A467" s="5"/>
      <c r="B467" s="5" t="str">
        <f t="shared" si="256"/>
        <v>SPS4</v>
      </c>
      <c r="C467" s="5" t="s">
        <v>7</v>
      </c>
      <c r="D467" t="s">
        <v>548</v>
      </c>
      <c r="E467" t="str">
        <f>E399</f>
        <v>PJ/yr.</v>
      </c>
      <c r="F467" s="1">
        <f>IFERROR(F307/F299,0)*F463</f>
        <v>0</v>
      </c>
      <c r="G467" s="1">
        <f t="shared" ref="G467:K467" si="280">IFERROR(G307/G299,0)*G463</f>
        <v>0</v>
      </c>
      <c r="H467" s="1">
        <f t="shared" si="280"/>
        <v>0</v>
      </c>
      <c r="I467" s="1">
        <f t="shared" si="280"/>
        <v>0</v>
      </c>
      <c r="J467" s="1">
        <f t="shared" si="280"/>
        <v>0</v>
      </c>
      <c r="K467" s="1">
        <f t="shared" si="280"/>
        <v>0</v>
      </c>
    </row>
    <row r="468" spans="1:11" x14ac:dyDescent="0.35">
      <c r="A468" s="5"/>
      <c r="B468" s="5" t="str">
        <f t="shared" si="256"/>
        <v>SPS4</v>
      </c>
      <c r="C468" s="5" t="s">
        <v>7</v>
      </c>
      <c r="D468" t="s">
        <v>893</v>
      </c>
      <c r="E468" t="str">
        <f>E399</f>
        <v>PJ/yr.</v>
      </c>
      <c r="F468" s="1">
        <f>SUM(F469:F478)</f>
        <v>3.6380956734848038</v>
      </c>
      <c r="G468" s="1">
        <f t="shared" ref="G468:K468" si="281">SUM(G469:G478)</f>
        <v>2.8876903465161146</v>
      </c>
      <c r="H468" s="1">
        <f t="shared" si="281"/>
        <v>1.9029105601473608</v>
      </c>
      <c r="I468" s="1">
        <f t="shared" si="281"/>
        <v>3.8137685752096515</v>
      </c>
      <c r="J468" s="1">
        <f t="shared" si="281"/>
        <v>12.604413620858084</v>
      </c>
      <c r="K468" s="1">
        <f t="shared" si="281"/>
        <v>13.056240691852661</v>
      </c>
    </row>
    <row r="469" spans="1:11" x14ac:dyDescent="0.35">
      <c r="A469" s="5"/>
      <c r="B469" s="5" t="str">
        <f t="shared" si="256"/>
        <v>SPS4</v>
      </c>
      <c r="C469" s="5" t="s">
        <v>7</v>
      </c>
      <c r="D469" t="s">
        <v>207</v>
      </c>
      <c r="E469" t="str">
        <f>E400</f>
        <v>PJ/yr.</v>
      </c>
      <c r="F469" s="1">
        <f>'[1]Electricity and CHPs_IN'!B$39-F314</f>
        <v>1.0278351770432239</v>
      </c>
      <c r="G469" s="1">
        <f>'[1]Electricity and CHPs_IN'!C$39-G314</f>
        <v>0.13645752498183464</v>
      </c>
      <c r="H469" s="1">
        <f>'[1]Electricity and CHPs_IN'!D$39-H314</f>
        <v>9.8437907230164448E-2</v>
      </c>
      <c r="I469" s="1">
        <f>'[1]Electricity and CHPs_IN'!E$39-I314</f>
        <v>0.59943514135837206</v>
      </c>
      <c r="J469" s="1">
        <f>'[1]Electricity and CHPs_IN'!F$39-J314</f>
        <v>8.8193125451448015E-2</v>
      </c>
      <c r="K469" s="1">
        <f>'[1]Electricity and CHPs_IN'!G$39-K314</f>
        <v>1.8901873203394474E-2</v>
      </c>
    </row>
    <row r="470" spans="1:11" x14ac:dyDescent="0.35">
      <c r="A470" s="5"/>
      <c r="B470" s="5" t="str">
        <f t="shared" si="256"/>
        <v>SPS4</v>
      </c>
      <c r="C470" s="5" t="s">
        <v>7</v>
      </c>
      <c r="D470" t="s">
        <v>208</v>
      </c>
      <c r="E470" t="str">
        <f>E401</f>
        <v>PJ/yr.</v>
      </c>
      <c r="F470" s="6">
        <f>'[1]Electricity and CHPs_IN'!B$40-F315</f>
        <v>0</v>
      </c>
      <c r="G470" s="6">
        <f>'[1]Electricity and CHPs_IN'!C$40-G315</f>
        <v>0</v>
      </c>
      <c r="H470" s="6">
        <f>'[1]Electricity and CHPs_IN'!D$40-H315</f>
        <v>0</v>
      </c>
      <c r="I470" s="6">
        <f>'[1]Electricity and CHPs_IN'!E$40-I315</f>
        <v>0</v>
      </c>
      <c r="J470" s="6">
        <f>'[1]Electricity and CHPs_IN'!F$40-J315</f>
        <v>1.5576513347618807E-4</v>
      </c>
      <c r="K470" s="6">
        <f>'[1]Electricity and CHPs_IN'!G$40-K315</f>
        <v>9.2457060849570092E-5</v>
      </c>
    </row>
    <row r="471" spans="1:11" x14ac:dyDescent="0.35">
      <c r="A471" s="5"/>
      <c r="B471" s="5" t="str">
        <f t="shared" si="256"/>
        <v>SPS4</v>
      </c>
      <c r="C471" s="5" t="s">
        <v>7</v>
      </c>
      <c r="D471" t="s">
        <v>209</v>
      </c>
      <c r="E471" t="str">
        <f>E402</f>
        <v>PJ/yr.</v>
      </c>
      <c r="F471" s="6">
        <f>'[1]Electricity and CHPs_IN'!$B$47-F316</f>
        <v>0</v>
      </c>
      <c r="G471" s="6">
        <f>'[1]Electricity and CHPs_IN'!$B$47-G316</f>
        <v>0</v>
      </c>
      <c r="H471" s="6">
        <f>'[1]Electricity and CHPs_IN'!$B$47-H316</f>
        <v>0</v>
      </c>
      <c r="I471" s="6">
        <f>'[1]Electricity and CHPs_IN'!$B$47-I316</f>
        <v>0</v>
      </c>
      <c r="J471" s="6">
        <f>'[1]Electricity and CHPs_IN'!$B$47-J316</f>
        <v>0</v>
      </c>
      <c r="K471" s="6">
        <f>'[1]Electricity and CHPs_IN'!$B$47-K316</f>
        <v>0</v>
      </c>
    </row>
    <row r="472" spans="1:11" x14ac:dyDescent="0.35">
      <c r="A472" s="5"/>
      <c r="B472" s="5" t="str">
        <f t="shared" si="256"/>
        <v>SPS4</v>
      </c>
      <c r="C472" s="5" t="s">
        <v>7</v>
      </c>
      <c r="D472" t="s">
        <v>210</v>
      </c>
      <c r="E472" t="str">
        <f>E427</f>
        <v>PJ/yr.</v>
      </c>
      <c r="F472" s="1">
        <f>'[1]Electricity and CHPs_IN'!B$48-F317</f>
        <v>4.9029118096217336E-2</v>
      </c>
      <c r="G472" s="1">
        <f>'[1]Electricity and CHPs_IN'!C$48-G317</f>
        <v>6.2598106208924895E-3</v>
      </c>
      <c r="H472" s="1">
        <f>'[1]Electricity and CHPs_IN'!D$48-H317</f>
        <v>1.5108059186572646E-2</v>
      </c>
      <c r="I472" s="1">
        <f>'[1]Electricity and CHPs_IN'!E$48-I317</f>
        <v>2.0990429028792931E-2</v>
      </c>
      <c r="J472" s="1">
        <f>'[1]Electricity and CHPs_IN'!F$48-J317</f>
        <v>1.4840083283919992E-2</v>
      </c>
      <c r="K472" s="1">
        <f>'[1]Electricity and CHPs_IN'!G$48-K317</f>
        <v>9.1324432309427342E-3</v>
      </c>
    </row>
    <row r="473" spans="1:11" x14ac:dyDescent="0.35">
      <c r="A473" s="5"/>
      <c r="B473" s="5" t="str">
        <f t="shared" si="256"/>
        <v>SPS4</v>
      </c>
      <c r="C473" s="5" t="s">
        <v>7</v>
      </c>
      <c r="D473" t="s">
        <v>211</v>
      </c>
      <c r="E473" t="str">
        <f>E429</f>
        <v>PJ/yr.</v>
      </c>
      <c r="F473" s="6">
        <f>'[1]Electricity and CHPs_IN'!B$49-F318</f>
        <v>0</v>
      </c>
      <c r="G473" s="6">
        <f>'[1]Electricity and CHPs_IN'!C$49-G318</f>
        <v>0</v>
      </c>
      <c r="H473" s="6">
        <f>'[1]Electricity and CHPs_IN'!D$49-H318</f>
        <v>0</v>
      </c>
      <c r="I473" s="6">
        <f>'[1]Electricity and CHPs_IN'!E$49-I318</f>
        <v>0</v>
      </c>
      <c r="J473" s="6">
        <f>'[1]Electricity and CHPs_IN'!F$49-J318</f>
        <v>0</v>
      </c>
      <c r="K473" s="6">
        <f>'[1]Electricity and CHPs_IN'!G$49-K318</f>
        <v>0</v>
      </c>
    </row>
    <row r="474" spans="1:11" x14ac:dyDescent="0.35">
      <c r="A474" s="5"/>
      <c r="B474" s="5" t="str">
        <f t="shared" si="256"/>
        <v>SPS4</v>
      </c>
      <c r="C474" s="5" t="s">
        <v>7</v>
      </c>
      <c r="D474" t="s">
        <v>212</v>
      </c>
      <c r="E474" t="str">
        <f>E430</f>
        <v>PJ/yr.</v>
      </c>
      <c r="F474" s="1">
        <f>'[1]Electricity and CHPs_IN'!B$51-F319</f>
        <v>8.5065512330135998E-2</v>
      </c>
      <c r="G474" s="1">
        <f>'[1]Electricity and CHPs_IN'!C$51-G319</f>
        <v>6.0134300000329217E-3</v>
      </c>
      <c r="H474" s="1">
        <f>'[1]Electricity and CHPs_IN'!D$51-H319</f>
        <v>1.9629470546620526E-2</v>
      </c>
      <c r="I474" s="1">
        <f>'[1]Electricity and CHPs_IN'!E$51-I319</f>
        <v>1.5142949340620644</v>
      </c>
      <c r="J474" s="1">
        <f>'[1]Electricity and CHPs_IN'!F$51-J319</f>
        <v>11.049966357885639</v>
      </c>
      <c r="K474" s="1">
        <f>'[1]Electricity and CHPs_IN'!G$51-K319</f>
        <v>9.5054256092324145</v>
      </c>
    </row>
    <row r="475" spans="1:11" x14ac:dyDescent="0.35">
      <c r="A475" s="5"/>
      <c r="B475" s="5" t="str">
        <f t="shared" si="256"/>
        <v>SPS4</v>
      </c>
      <c r="C475" s="5" t="s">
        <v>7</v>
      </c>
      <c r="D475" t="s">
        <v>213</v>
      </c>
      <c r="E475" t="str">
        <f>E432</f>
        <v>PJ/yr.</v>
      </c>
      <c r="F475" s="1">
        <f>'[1]Electricity and CHPs_IN'!B$52-F320</f>
        <v>0</v>
      </c>
      <c r="G475" s="1">
        <f>'[1]Electricity and CHPs_IN'!C$52-G320</f>
        <v>0</v>
      </c>
      <c r="H475" s="1">
        <f>'[1]Electricity and CHPs_IN'!D$52-H320</f>
        <v>0</v>
      </c>
      <c r="I475" s="1">
        <f>'[1]Electricity and CHPs_IN'!E$52-I320</f>
        <v>0</v>
      </c>
      <c r="J475" s="1">
        <f>'[1]Electricity and CHPs_IN'!F$52-J320</f>
        <v>0</v>
      </c>
      <c r="K475" s="1">
        <f>'[1]Electricity and CHPs_IN'!G$52-K320</f>
        <v>0</v>
      </c>
    </row>
    <row r="476" spans="1:11" x14ac:dyDescent="0.35">
      <c r="A476" s="5"/>
      <c r="B476" s="5" t="str">
        <f t="shared" si="256"/>
        <v>SPS4</v>
      </c>
      <c r="C476" s="5" t="s">
        <v>7</v>
      </c>
      <c r="D476" t="s">
        <v>214</v>
      </c>
      <c r="E476" t="str">
        <f>E456</f>
        <v>PJ/yr.</v>
      </c>
      <c r="F476" s="1">
        <f>'[1]Electricity and CHPs_IN'!B$54-F321</f>
        <v>1.580701571126885</v>
      </c>
      <c r="G476" s="1">
        <f>'[1]Electricity and CHPs_IN'!C$54-G321</f>
        <v>1.7911118990015609</v>
      </c>
      <c r="H476" s="1">
        <f>'[1]Electricity and CHPs_IN'!D$54-H321</f>
        <v>1.7430348567519367</v>
      </c>
      <c r="I476" s="1">
        <f>'[1]Electricity and CHPs_IN'!E$54-I321</f>
        <v>1.6521681583638199</v>
      </c>
      <c r="J476" s="1">
        <f>'[1]Electricity and CHPs_IN'!F$54-J321</f>
        <v>1.4051078333594917</v>
      </c>
      <c r="K476" s="1">
        <f>'[1]Electricity and CHPs_IN'!G$54-K321</f>
        <v>1.3677273647665453</v>
      </c>
    </row>
    <row r="477" spans="1:11" x14ac:dyDescent="0.35">
      <c r="A477" s="5"/>
      <c r="B477" s="5" t="str">
        <f t="shared" si="256"/>
        <v>SPS4</v>
      </c>
      <c r="C477" s="5" t="s">
        <v>7</v>
      </c>
      <c r="D477" t="s">
        <v>215</v>
      </c>
      <c r="E477" t="str">
        <f>E458</f>
        <v>PJ/yr.</v>
      </c>
      <c r="F477" s="1">
        <f>'[1]Electricity and CHPs_IN'!B$55-F322</f>
        <v>0.89546429488834189</v>
      </c>
      <c r="G477" s="1">
        <f>'[1]Electricity and CHPs_IN'!C$55-G322</f>
        <v>0.94784768191179369</v>
      </c>
      <c r="H477" s="1">
        <f>'[1]Electricity and CHPs_IN'!D$55-H322</f>
        <v>2.670026643206647E-2</v>
      </c>
      <c r="I477" s="1">
        <f>'[1]Electricity and CHPs_IN'!E$55-I322</f>
        <v>2.6703095554178612E-2</v>
      </c>
      <c r="J477" s="1">
        <f>'[1]Electricity and CHPs_IN'!F$55-J322</f>
        <v>4.2704116602085708E-2</v>
      </c>
      <c r="K477" s="1">
        <f>'[1]Electricity and CHPs_IN'!G$55-K322</f>
        <v>1.7557432603195584E-3</v>
      </c>
    </row>
    <row r="478" spans="1:11" x14ac:dyDescent="0.35">
      <c r="A478" s="5"/>
      <c r="B478" s="5" t="str">
        <f t="shared" si="256"/>
        <v>SPS4</v>
      </c>
      <c r="C478" s="5" t="s">
        <v>7</v>
      </c>
      <c r="D478" t="s">
        <v>216</v>
      </c>
      <c r="E478" t="str">
        <f>E460</f>
        <v>PJ/yr.</v>
      </c>
      <c r="F478" s="1">
        <f>'[1]Electricity and CHPs_IN'!B$58-F323</f>
        <v>0</v>
      </c>
      <c r="G478" s="1">
        <f>'[1]Electricity and CHPs_IN'!C$58-G323</f>
        <v>0</v>
      </c>
      <c r="H478" s="1">
        <f>'[1]Electricity and CHPs_IN'!D$58-H323</f>
        <v>0</v>
      </c>
      <c r="I478" s="1">
        <f>'[1]Electricity and CHPs_IN'!E$58-I323</f>
        <v>1.7681684242355409E-4</v>
      </c>
      <c r="J478" s="1">
        <f>'[1]Electricity and CHPs_IN'!F$58-J323</f>
        <v>3.4463391420245289E-3</v>
      </c>
      <c r="K478" s="1">
        <f>'[1]Electricity and CHPs_IN'!G$58-K323</f>
        <v>2.1532052010981948</v>
      </c>
    </row>
    <row r="479" spans="1:11" x14ac:dyDescent="0.35">
      <c r="A479" s="5"/>
      <c r="B479" s="5" t="str">
        <f t="shared" si="256"/>
        <v>SPS4</v>
      </c>
      <c r="C479" s="5" t="s">
        <v>7</v>
      </c>
      <c r="D479" t="s">
        <v>896</v>
      </c>
      <c r="E479" t="str">
        <f>E400</f>
        <v>PJ/yr.</v>
      </c>
      <c r="F479" s="1">
        <f>SUM(F480:F489)</f>
        <v>2.0053469951482605</v>
      </c>
      <c r="G479" s="1">
        <f t="shared" ref="G479:K479" si="282">SUM(G480:G489)</f>
        <v>1.0746539133358668</v>
      </c>
      <c r="H479" s="1">
        <f t="shared" si="282"/>
        <v>0.14957745620971516</v>
      </c>
      <c r="I479" s="1">
        <f t="shared" si="282"/>
        <v>1.9737455415296581</v>
      </c>
      <c r="J479" s="1">
        <f t="shared" si="282"/>
        <v>10.880128159753843</v>
      </c>
      <c r="K479" s="1">
        <f t="shared" si="282"/>
        <v>11.539388793386326</v>
      </c>
    </row>
    <row r="480" spans="1:11" x14ac:dyDescent="0.35">
      <c r="A480" s="5"/>
      <c r="B480" s="5" t="str">
        <f t="shared" si="256"/>
        <v>SPS4</v>
      </c>
      <c r="C480" s="5" t="s">
        <v>7</v>
      </c>
      <c r="D480" t="s">
        <v>597</v>
      </c>
      <c r="E480" t="str">
        <f>E400</f>
        <v>PJ/yr.</v>
      </c>
      <c r="F480" s="1">
        <f t="shared" ref="F480:F486" si="283">F469-F491</f>
        <v>1.0018334267747084</v>
      </c>
      <c r="G480" s="1">
        <f t="shared" ref="G480:K480" si="284">G469-G491</f>
        <v>0.13372924988470478</v>
      </c>
      <c r="H480" s="1">
        <f t="shared" si="284"/>
        <v>9.2097119483368309E-2</v>
      </c>
      <c r="I480" s="1">
        <f t="shared" si="284"/>
        <v>0.54734095555861006</v>
      </c>
      <c r="J480" s="1">
        <f t="shared" si="284"/>
        <v>8.5679606790766319E-2</v>
      </c>
      <c r="K480" s="1">
        <f t="shared" si="284"/>
        <v>1.8660717185926164E-2</v>
      </c>
    </row>
    <row r="481" spans="1:18" x14ac:dyDescent="0.35">
      <c r="A481" s="5"/>
      <c r="B481" s="5" t="str">
        <f t="shared" si="256"/>
        <v>SPS4</v>
      </c>
      <c r="C481" s="5" t="s">
        <v>7</v>
      </c>
      <c r="D481" t="s">
        <v>598</v>
      </c>
      <c r="E481" t="str">
        <f>E401</f>
        <v>PJ/yr.</v>
      </c>
      <c r="F481" s="1">
        <f t="shared" si="283"/>
        <v>0</v>
      </c>
      <c r="G481" s="1">
        <f t="shared" ref="G481:K481" si="285">G470-G492</f>
        <v>0</v>
      </c>
      <c r="H481" s="1">
        <f t="shared" si="285"/>
        <v>0</v>
      </c>
      <c r="I481" s="1">
        <f t="shared" si="285"/>
        <v>0</v>
      </c>
      <c r="J481" s="1">
        <f t="shared" si="285"/>
        <v>1.5576513347618807E-4</v>
      </c>
      <c r="K481" s="1">
        <f t="shared" si="285"/>
        <v>9.2457060849570092E-5</v>
      </c>
    </row>
    <row r="482" spans="1:18" x14ac:dyDescent="0.35">
      <c r="A482" s="5"/>
      <c r="B482" s="5" t="str">
        <f t="shared" si="256"/>
        <v>SPS4</v>
      </c>
      <c r="C482" s="5" t="s">
        <v>7</v>
      </c>
      <c r="D482" t="s">
        <v>599</v>
      </c>
      <c r="E482" t="str">
        <f>E402</f>
        <v>PJ/yr.</v>
      </c>
      <c r="F482" s="1">
        <f t="shared" si="283"/>
        <v>0</v>
      </c>
      <c r="G482" s="1">
        <f t="shared" ref="G482:K482" si="286">G471-G493</f>
        <v>0</v>
      </c>
      <c r="H482" s="1">
        <f t="shared" si="286"/>
        <v>0</v>
      </c>
      <c r="I482" s="1">
        <f t="shared" si="286"/>
        <v>0</v>
      </c>
      <c r="J482" s="1">
        <f t="shared" si="286"/>
        <v>0</v>
      </c>
      <c r="K482" s="1">
        <f t="shared" si="286"/>
        <v>0</v>
      </c>
    </row>
    <row r="483" spans="1:18" x14ac:dyDescent="0.35">
      <c r="A483" s="5"/>
      <c r="B483" s="5" t="str">
        <f t="shared" si="256"/>
        <v>SPS4</v>
      </c>
      <c r="C483" s="5" t="s">
        <v>7</v>
      </c>
      <c r="D483" t="s">
        <v>600</v>
      </c>
      <c r="E483" t="str">
        <f>E427</f>
        <v>PJ/yr.</v>
      </c>
      <c r="F483" s="1">
        <f t="shared" si="283"/>
        <v>4.7788799693912073E-2</v>
      </c>
      <c r="G483" s="1">
        <f t="shared" ref="G483:K483" si="287">G472-G494</f>
        <v>6.1346545664205691E-3</v>
      </c>
      <c r="H483" s="1">
        <f t="shared" si="287"/>
        <v>1.413488737437533E-2</v>
      </c>
      <c r="I483" s="1">
        <f t="shared" si="287"/>
        <v>1.9166246169968974E-2</v>
      </c>
      <c r="J483" s="1">
        <f t="shared" si="287"/>
        <v>1.441713845608601E-2</v>
      </c>
      <c r="K483" s="1">
        <f t="shared" si="287"/>
        <v>9.015928660369165E-3</v>
      </c>
    </row>
    <row r="484" spans="1:18" x14ac:dyDescent="0.35">
      <c r="A484" s="5"/>
      <c r="B484" s="5" t="str">
        <f t="shared" si="256"/>
        <v>SPS4</v>
      </c>
      <c r="C484" s="5" t="s">
        <v>7</v>
      </c>
      <c r="D484" t="s">
        <v>601</v>
      </c>
      <c r="E484" t="str">
        <f>E429</f>
        <v>PJ/yr.</v>
      </c>
      <c r="F484" s="1">
        <f t="shared" si="283"/>
        <v>0</v>
      </c>
      <c r="G484" s="1">
        <f t="shared" ref="G484:K484" si="288">G473-G495</f>
        <v>0</v>
      </c>
      <c r="H484" s="1">
        <f t="shared" si="288"/>
        <v>0</v>
      </c>
      <c r="I484" s="1">
        <f t="shared" si="288"/>
        <v>0</v>
      </c>
      <c r="J484" s="1">
        <f t="shared" si="288"/>
        <v>0</v>
      </c>
      <c r="K484" s="1">
        <f t="shared" si="288"/>
        <v>0</v>
      </c>
    </row>
    <row r="485" spans="1:18" x14ac:dyDescent="0.35">
      <c r="A485" s="5"/>
      <c r="B485" s="5" t="str">
        <f t="shared" si="256"/>
        <v>SPS4</v>
      </c>
      <c r="C485" s="5" t="s">
        <v>7</v>
      </c>
      <c r="D485" t="s">
        <v>602</v>
      </c>
      <c r="E485" t="str">
        <f>E431</f>
        <v>PJ/yr.</v>
      </c>
      <c r="F485" s="1">
        <f t="shared" si="283"/>
        <v>8.2913560093558172E-2</v>
      </c>
      <c r="G485" s="1">
        <f t="shared" ref="G485:K485" si="289">G474-G496</f>
        <v>5.8931999773968865E-3</v>
      </c>
      <c r="H485" s="1">
        <f t="shared" si="289"/>
        <v>1.8365056157689196E-2</v>
      </c>
      <c r="I485" s="1">
        <f t="shared" si="289"/>
        <v>1.3826944385156987</v>
      </c>
      <c r="J485" s="1">
        <f t="shared" si="289"/>
        <v>10.735040489250439</v>
      </c>
      <c r="K485" s="1">
        <f t="shared" si="289"/>
        <v>9.3841524126768423</v>
      </c>
    </row>
    <row r="486" spans="1:18" x14ac:dyDescent="0.35">
      <c r="A486" s="5"/>
      <c r="B486" s="5" t="str">
        <f t="shared" si="256"/>
        <v>SPS4</v>
      </c>
      <c r="C486" s="5" t="s">
        <v>7</v>
      </c>
      <c r="D486" t="s">
        <v>603</v>
      </c>
      <c r="E486" t="str">
        <f>E432</f>
        <v>PJ/yr.</v>
      </c>
      <c r="F486" s="1">
        <f t="shared" si="283"/>
        <v>0</v>
      </c>
      <c r="G486" s="1">
        <f t="shared" ref="G486:K486" si="290">G475-G497</f>
        <v>0</v>
      </c>
      <c r="H486" s="1">
        <f t="shared" si="290"/>
        <v>0</v>
      </c>
      <c r="I486" s="1">
        <f t="shared" si="290"/>
        <v>0</v>
      </c>
      <c r="J486" s="1">
        <f t="shared" si="290"/>
        <v>0</v>
      </c>
      <c r="K486" s="1">
        <f t="shared" si="290"/>
        <v>0</v>
      </c>
    </row>
    <row r="487" spans="1:18" x14ac:dyDescent="0.35">
      <c r="A487" s="5"/>
      <c r="B487" s="5" t="str">
        <f t="shared" si="256"/>
        <v>SPS4</v>
      </c>
      <c r="C487" s="5" t="s">
        <v>7</v>
      </c>
      <c r="D487" t="s">
        <v>604</v>
      </c>
      <c r="E487" t="str">
        <f>E469</f>
        <v>PJ/yr.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</row>
    <row r="488" spans="1:18" x14ac:dyDescent="0.35">
      <c r="A488" s="5"/>
      <c r="B488" s="5" t="str">
        <f t="shared" si="256"/>
        <v>SPS4</v>
      </c>
      <c r="C488" s="5" t="s">
        <v>7</v>
      </c>
      <c r="D488" t="s">
        <v>605</v>
      </c>
      <c r="E488" t="str">
        <f>E471</f>
        <v>PJ/yr.</v>
      </c>
      <c r="F488" s="1">
        <f>F477-F499</f>
        <v>0.87281120858608174</v>
      </c>
      <c r="G488" s="1">
        <f t="shared" ref="G488:K488" si="291">G477-G499</f>
        <v>0.92889680890734461</v>
      </c>
      <c r="H488" s="1">
        <f t="shared" si="291"/>
        <v>2.4980393194282313E-2</v>
      </c>
      <c r="I488" s="1">
        <f t="shared" si="291"/>
        <v>2.4382450791717938E-2</v>
      </c>
      <c r="J488" s="1">
        <f t="shared" si="291"/>
        <v>4.1487042216550286E-2</v>
      </c>
      <c r="K488" s="1">
        <f t="shared" si="291"/>
        <v>1.7333429379917452E-3</v>
      </c>
    </row>
    <row r="489" spans="1:18" x14ac:dyDescent="0.35">
      <c r="A489" s="5"/>
      <c r="B489" s="5" t="str">
        <f t="shared" si="256"/>
        <v>SPS4</v>
      </c>
      <c r="C489" s="5" t="s">
        <v>7</v>
      </c>
      <c r="D489" t="s">
        <v>606</v>
      </c>
      <c r="E489" t="str">
        <f>E473</f>
        <v>PJ/yr.</v>
      </c>
      <c r="F489" s="1">
        <f>F478-F500</f>
        <v>0</v>
      </c>
      <c r="G489" s="1">
        <f t="shared" ref="G489:K489" si="292">G478-G500</f>
        <v>0</v>
      </c>
      <c r="H489" s="1">
        <f t="shared" si="292"/>
        <v>0</v>
      </c>
      <c r="I489" s="1">
        <f t="shared" si="292"/>
        <v>1.6145049366250773E-4</v>
      </c>
      <c r="J489" s="1">
        <f t="shared" si="292"/>
        <v>3.3481179065237504E-3</v>
      </c>
      <c r="K489" s="1">
        <f t="shared" si="292"/>
        <v>2.1257339348643467</v>
      </c>
    </row>
    <row r="490" spans="1:18" x14ac:dyDescent="0.35">
      <c r="A490" s="5"/>
      <c r="B490" s="5" t="str">
        <f t="shared" si="256"/>
        <v>SPS4</v>
      </c>
      <c r="C490" s="5" t="s">
        <v>7</v>
      </c>
      <c r="D490" t="s">
        <v>897</v>
      </c>
      <c r="E490" t="str">
        <f>E401</f>
        <v>PJ/yr.</v>
      </c>
      <c r="F490" s="1">
        <f>SUM(F491:F500)</f>
        <v>1.6327486783365439</v>
      </c>
      <c r="G490" s="1">
        <f t="shared" ref="G490:K490" si="293">SUM(G491:G500)</f>
        <v>1.813036433180248</v>
      </c>
      <c r="H490" s="1">
        <f t="shared" si="293"/>
        <v>1.7533331039376456</v>
      </c>
      <c r="I490" s="1">
        <f t="shared" si="293"/>
        <v>1.8400230336799932</v>
      </c>
      <c r="J490" s="1">
        <f t="shared" si="293"/>
        <v>1.7242854611042435</v>
      </c>
      <c r="K490" s="1">
        <f t="shared" si="293"/>
        <v>1.5168518984663355</v>
      </c>
      <c r="M490" s="8"/>
      <c r="N490" s="8"/>
      <c r="O490" s="8"/>
      <c r="P490" s="8"/>
      <c r="Q490" s="8"/>
      <c r="R490" s="8"/>
    </row>
    <row r="491" spans="1:18" x14ac:dyDescent="0.35">
      <c r="A491" s="5"/>
      <c r="B491" s="5" t="str">
        <f t="shared" si="256"/>
        <v>SPS4</v>
      </c>
      <c r="C491" s="5" t="s">
        <v>7</v>
      </c>
      <c r="D491" t="s">
        <v>658</v>
      </c>
      <c r="E491" t="str">
        <f>E403</f>
        <v>PJ/yr.</v>
      </c>
      <c r="F491" s="1">
        <f t="shared" ref="F491:F497" si="294">IFERROR(F346/F314,0)*F469</f>
        <v>2.6001750268515551E-2</v>
      </c>
      <c r="G491" s="1">
        <f t="shared" ref="G491:K491" si="295">IFERROR(G346/G314,0)*G469</f>
        <v>2.7282750971298628E-3</v>
      </c>
      <c r="H491" s="1">
        <f t="shared" si="295"/>
        <v>6.3407877467961402E-3</v>
      </c>
      <c r="I491" s="1">
        <f t="shared" si="295"/>
        <v>5.2094185799762001E-2</v>
      </c>
      <c r="J491" s="1">
        <f t="shared" si="295"/>
        <v>2.513518660681697E-3</v>
      </c>
      <c r="K491" s="1">
        <f t="shared" si="295"/>
        <v>2.4115601746830956E-4</v>
      </c>
    </row>
    <row r="492" spans="1:18" x14ac:dyDescent="0.35">
      <c r="A492" s="5"/>
      <c r="B492" s="5" t="str">
        <f t="shared" si="256"/>
        <v>SPS4</v>
      </c>
      <c r="C492" s="5" t="s">
        <v>7</v>
      </c>
      <c r="D492" t="s">
        <v>659</v>
      </c>
      <c r="E492" t="str">
        <f>E404</f>
        <v>PJ/yr.</v>
      </c>
      <c r="F492" s="1">
        <f t="shared" si="294"/>
        <v>0</v>
      </c>
      <c r="G492" s="1">
        <f t="shared" ref="G492:K492" si="296">IFERROR(G347/G315,0)*G470</f>
        <v>0</v>
      </c>
      <c r="H492" s="1">
        <f t="shared" si="296"/>
        <v>0</v>
      </c>
      <c r="I492" s="1">
        <f t="shared" si="296"/>
        <v>0</v>
      </c>
      <c r="J492" s="1">
        <f t="shared" si="296"/>
        <v>0</v>
      </c>
      <c r="K492" s="1">
        <f t="shared" si="296"/>
        <v>0</v>
      </c>
    </row>
    <row r="493" spans="1:18" x14ac:dyDescent="0.35">
      <c r="A493" s="5"/>
      <c r="B493" s="5" t="str">
        <f t="shared" si="256"/>
        <v>SPS4</v>
      </c>
      <c r="C493" s="5" t="s">
        <v>7</v>
      </c>
      <c r="D493" t="s">
        <v>660</v>
      </c>
      <c r="E493" t="str">
        <f>E405</f>
        <v>PJ/yr.</v>
      </c>
      <c r="F493" s="1">
        <f t="shared" si="294"/>
        <v>0</v>
      </c>
      <c r="G493" s="1">
        <f t="shared" ref="G493:K493" si="297">IFERROR(G348/G316,0)*G471</f>
        <v>0</v>
      </c>
      <c r="H493" s="1">
        <f t="shared" si="297"/>
        <v>0</v>
      </c>
      <c r="I493" s="1">
        <f t="shared" si="297"/>
        <v>0</v>
      </c>
      <c r="J493" s="1">
        <f t="shared" si="297"/>
        <v>0</v>
      </c>
      <c r="K493" s="1">
        <f t="shared" si="297"/>
        <v>0</v>
      </c>
    </row>
    <row r="494" spans="1:18" x14ac:dyDescent="0.35">
      <c r="A494" s="5"/>
      <c r="B494" s="5" t="str">
        <f t="shared" si="256"/>
        <v>SPS4</v>
      </c>
      <c r="C494" s="5" t="s">
        <v>7</v>
      </c>
      <c r="D494" t="s">
        <v>661</v>
      </c>
      <c r="E494" t="str">
        <f>E433</f>
        <v>PJ/yr.</v>
      </c>
      <c r="F494" s="1">
        <f t="shared" si="294"/>
        <v>1.240318402305264E-3</v>
      </c>
      <c r="G494" s="1">
        <f t="shared" ref="G494:K494" si="298">IFERROR(G349/G317,0)*G472</f>
        <v>1.251560544719204E-4</v>
      </c>
      <c r="H494" s="1">
        <f t="shared" si="298"/>
        <v>9.7317181219731634E-4</v>
      </c>
      <c r="I494" s="1">
        <f t="shared" si="298"/>
        <v>1.8241828588239561E-3</v>
      </c>
      <c r="J494" s="1">
        <f t="shared" si="298"/>
        <v>4.2294482783398102E-4</v>
      </c>
      <c r="K494" s="1">
        <f t="shared" si="298"/>
        <v>1.1651457057356955E-4</v>
      </c>
    </row>
    <row r="495" spans="1:18" x14ac:dyDescent="0.35">
      <c r="A495" s="5"/>
      <c r="B495" s="5" t="str">
        <f t="shared" si="256"/>
        <v>SPS4</v>
      </c>
      <c r="C495" s="5" t="s">
        <v>7</v>
      </c>
      <c r="D495" t="s">
        <v>662</v>
      </c>
      <c r="E495" t="str">
        <f>E435</f>
        <v>PJ/yr.</v>
      </c>
      <c r="F495" s="1">
        <f t="shared" si="294"/>
        <v>0</v>
      </c>
      <c r="G495" s="1">
        <f t="shared" ref="G495:K495" si="299">IFERROR(G350/G318,0)*G473</f>
        <v>0</v>
      </c>
      <c r="H495" s="1">
        <f t="shared" si="299"/>
        <v>0</v>
      </c>
      <c r="I495" s="1">
        <f t="shared" si="299"/>
        <v>0</v>
      </c>
      <c r="J495" s="1">
        <f t="shared" si="299"/>
        <v>0</v>
      </c>
      <c r="K495" s="1">
        <f t="shared" si="299"/>
        <v>0</v>
      </c>
    </row>
    <row r="496" spans="1:18" x14ac:dyDescent="0.35">
      <c r="A496" s="5"/>
      <c r="B496" s="5" t="str">
        <f t="shared" si="256"/>
        <v>SPS4</v>
      </c>
      <c r="C496" s="5" t="s">
        <v>7</v>
      </c>
      <c r="D496" t="s">
        <v>663</v>
      </c>
      <c r="E496" t="str">
        <f>E437</f>
        <v>PJ/yr.</v>
      </c>
      <c r="F496" s="1">
        <f t="shared" si="294"/>
        <v>2.1519522365778211E-3</v>
      </c>
      <c r="G496" s="1">
        <f t="shared" ref="G496:K496" si="300">IFERROR(G351/G319,0)*G474</f>
        <v>1.202300226360352E-4</v>
      </c>
      <c r="H496" s="1">
        <f t="shared" si="300"/>
        <v>1.2644143889313287E-3</v>
      </c>
      <c r="I496" s="1">
        <f t="shared" si="300"/>
        <v>0.13160049554636569</v>
      </c>
      <c r="J496" s="1">
        <f t="shared" si="300"/>
        <v>0.31492586863520006</v>
      </c>
      <c r="K496" s="1">
        <f t="shared" si="300"/>
        <v>0.12127319655557217</v>
      </c>
    </row>
    <row r="497" spans="1:11" x14ac:dyDescent="0.35">
      <c r="A497" s="5"/>
      <c r="B497" s="5" t="str">
        <f t="shared" si="256"/>
        <v>SPS4</v>
      </c>
      <c r="C497" s="5" t="s">
        <v>7</v>
      </c>
      <c r="D497" t="s">
        <v>664</v>
      </c>
      <c r="E497" t="str">
        <f>E438</f>
        <v>PJ/yr.</v>
      </c>
      <c r="F497" s="1">
        <f t="shared" si="294"/>
        <v>0</v>
      </c>
      <c r="G497" s="1">
        <f t="shared" ref="G497:K497" si="301">IFERROR(G352/G320,0)*G475</f>
        <v>0</v>
      </c>
      <c r="H497" s="1">
        <f t="shared" si="301"/>
        <v>0</v>
      </c>
      <c r="I497" s="1">
        <f t="shared" si="301"/>
        <v>0</v>
      </c>
      <c r="J497" s="1">
        <f t="shared" si="301"/>
        <v>0</v>
      </c>
      <c r="K497" s="1">
        <f t="shared" si="301"/>
        <v>0</v>
      </c>
    </row>
    <row r="498" spans="1:11" x14ac:dyDescent="0.35">
      <c r="A498" s="5"/>
      <c r="B498" s="5" t="str">
        <f t="shared" si="256"/>
        <v>SPS4</v>
      </c>
      <c r="C498" s="5" t="s">
        <v>7</v>
      </c>
      <c r="D498" t="s">
        <v>665</v>
      </c>
      <c r="E498" t="str">
        <f>E461</f>
        <v>PJ/yr.</v>
      </c>
      <c r="F498" s="1">
        <f>F476</f>
        <v>1.580701571126885</v>
      </c>
      <c r="G498" s="1">
        <f t="shared" ref="G498:K498" si="302">G476</f>
        <v>1.7911118990015609</v>
      </c>
      <c r="H498" s="1">
        <f t="shared" si="302"/>
        <v>1.7430348567519367</v>
      </c>
      <c r="I498" s="1">
        <f t="shared" si="302"/>
        <v>1.6521681583638199</v>
      </c>
      <c r="J498" s="1">
        <f t="shared" si="302"/>
        <v>1.4051078333594917</v>
      </c>
      <c r="K498" s="1">
        <f t="shared" si="302"/>
        <v>1.3677273647665453</v>
      </c>
    </row>
    <row r="499" spans="1:11" x14ac:dyDescent="0.35">
      <c r="A499" s="5"/>
      <c r="B499" s="5" t="str">
        <f t="shared" si="256"/>
        <v>SPS4</v>
      </c>
      <c r="C499" s="5" t="s">
        <v>7</v>
      </c>
      <c r="D499" t="s">
        <v>666</v>
      </c>
      <c r="E499" t="str">
        <f>E463</f>
        <v>PJ/yr.</v>
      </c>
      <c r="F499" s="1">
        <f>IFERROR(F354/F322,0)*F477</f>
        <v>2.2653086302260157E-2</v>
      </c>
      <c r="G499" s="1">
        <f t="shared" ref="G499:K499" si="303">IFERROR(G354/G322,0)*G477</f>
        <v>1.8950873004449132E-2</v>
      </c>
      <c r="H499" s="1">
        <f t="shared" si="303"/>
        <v>1.7198732377841581E-3</v>
      </c>
      <c r="I499" s="1">
        <f t="shared" si="303"/>
        <v>2.3206447624606742E-3</v>
      </c>
      <c r="J499" s="1">
        <f t="shared" si="303"/>
        <v>1.2170743855354205E-3</v>
      </c>
      <c r="K499" s="1">
        <f t="shared" si="303"/>
        <v>2.2400322327813212E-5</v>
      </c>
    </row>
    <row r="500" spans="1:11" x14ac:dyDescent="0.35">
      <c r="A500" s="5"/>
      <c r="B500" s="5" t="str">
        <f t="shared" ref="B500:B563" si="304">B499</f>
        <v>SPS4</v>
      </c>
      <c r="C500" s="5" t="s">
        <v>7</v>
      </c>
      <c r="D500" t="s">
        <v>667</v>
      </c>
      <c r="E500" t="str">
        <f>E467</f>
        <v>PJ/yr.</v>
      </c>
      <c r="F500" s="1">
        <f>IFERROR(F355/F323,0)*F478</f>
        <v>0</v>
      </c>
      <c r="G500" s="1">
        <f t="shared" ref="G500:K500" si="305">IFERROR(G355/G323,0)*G478</f>
        <v>0</v>
      </c>
      <c r="H500" s="1">
        <f t="shared" si="305"/>
        <v>0</v>
      </c>
      <c r="I500" s="1">
        <f t="shared" si="305"/>
        <v>1.5366348761046367E-5</v>
      </c>
      <c r="J500" s="1">
        <f t="shared" si="305"/>
        <v>9.8221235500778445E-5</v>
      </c>
      <c r="K500" s="1">
        <f t="shared" si="305"/>
        <v>2.7471266233848164E-2</v>
      </c>
    </row>
    <row r="501" spans="1:11" x14ac:dyDescent="0.35">
      <c r="A501" s="5"/>
      <c r="B501" s="5" t="str">
        <f t="shared" si="304"/>
        <v>SPS4</v>
      </c>
      <c r="C501" s="5" t="s">
        <v>7</v>
      </c>
      <c r="D501" t="s">
        <v>898</v>
      </c>
      <c r="E501" t="str">
        <f>E405</f>
        <v>PJ/yr.</v>
      </c>
      <c r="F501" s="1">
        <f>SUM(F502:F503)</f>
        <v>3.3175400800016828</v>
      </c>
      <c r="G501" s="1">
        <f t="shared" ref="G501:K501" si="306">SUM(G502:G503)</f>
        <v>3.3046683397125443</v>
      </c>
      <c r="H501" s="1">
        <f t="shared" si="306"/>
        <v>4.7995184550628105</v>
      </c>
      <c r="I501" s="1">
        <f t="shared" si="306"/>
        <v>4.6782084324729603</v>
      </c>
      <c r="J501" s="1">
        <f t="shared" si="306"/>
        <v>4.4136320994093214</v>
      </c>
      <c r="K501" s="1">
        <f t="shared" si="306"/>
        <v>4.0403446286667597</v>
      </c>
    </row>
    <row r="502" spans="1:11" x14ac:dyDescent="0.35">
      <c r="A502" s="5"/>
      <c r="B502" s="5" t="str">
        <f t="shared" si="304"/>
        <v>SPS4</v>
      </c>
      <c r="C502" s="5" t="s">
        <v>7</v>
      </c>
      <c r="D502" t="s">
        <v>217</v>
      </c>
      <c r="E502" t="str">
        <f>E406</f>
        <v>PJ/yr.</v>
      </c>
      <c r="F502" s="6">
        <f>'[1]Electricity and CHPs_IN'!B$44-F361</f>
        <v>3.3175400800016828</v>
      </c>
      <c r="G502" s="6">
        <f>'[1]Electricity and CHPs_IN'!C$44-G361</f>
        <v>3.3046683397125443</v>
      </c>
      <c r="H502" s="6">
        <f>'[1]Electricity and CHPs_IN'!D$44-H361</f>
        <v>4.7995184550628105</v>
      </c>
      <c r="I502" s="6">
        <f>'[1]Electricity and CHPs_IN'!E$44-I361</f>
        <v>4.6782084324729603</v>
      </c>
      <c r="J502" s="6">
        <f>'[1]Electricity and CHPs_IN'!F$44-J361</f>
        <v>4.4136320994093214</v>
      </c>
      <c r="K502" s="6">
        <f>'[1]Electricity and CHPs_IN'!G$44-K361</f>
        <v>4.0403446286667597</v>
      </c>
    </row>
    <row r="503" spans="1:11" x14ac:dyDescent="0.35">
      <c r="A503" s="5"/>
      <c r="B503" s="5" t="str">
        <f t="shared" si="304"/>
        <v>SPS4</v>
      </c>
      <c r="C503" s="5" t="s">
        <v>7</v>
      </c>
      <c r="D503" t="s">
        <v>218</v>
      </c>
      <c r="E503" t="str">
        <f>E407</f>
        <v>PJ/yr.</v>
      </c>
      <c r="F503" s="1">
        <f>'[1]Electricity and CHPs_IN'!B$45</f>
        <v>0</v>
      </c>
      <c r="G503" s="1">
        <f>'[1]Electricity and CHPs_IN'!C$45</f>
        <v>0</v>
      </c>
      <c r="H503" s="1">
        <f>'[1]Electricity and CHPs_IN'!D$45</f>
        <v>0</v>
      </c>
      <c r="I503" s="1">
        <f>'[1]Electricity and CHPs_IN'!E$45</f>
        <v>0</v>
      </c>
      <c r="J503" s="1">
        <f>'[1]Electricity and CHPs_IN'!F$45</f>
        <v>0</v>
      </c>
      <c r="K503" s="1">
        <f>'[1]Electricity and CHPs_IN'!G$45</f>
        <v>0</v>
      </c>
    </row>
    <row r="504" spans="1:11" x14ac:dyDescent="0.35">
      <c r="A504" s="5"/>
      <c r="B504" s="5" t="str">
        <f t="shared" si="304"/>
        <v>SPS4</v>
      </c>
      <c r="C504" s="5" t="s">
        <v>7</v>
      </c>
      <c r="D504" t="s">
        <v>899</v>
      </c>
      <c r="E504" t="str">
        <f>E407</f>
        <v>PJ/yr.</v>
      </c>
      <c r="F504" s="1">
        <f>SUM(F505:F506)</f>
        <v>0</v>
      </c>
      <c r="G504" s="1">
        <f t="shared" ref="G504:K504" si="307">SUM(G505:G506)</f>
        <v>0</v>
      </c>
      <c r="H504" s="1">
        <f t="shared" si="307"/>
        <v>0</v>
      </c>
      <c r="I504" s="1">
        <f t="shared" si="307"/>
        <v>0</v>
      </c>
      <c r="J504" s="1">
        <f t="shared" si="307"/>
        <v>0</v>
      </c>
      <c r="K504" s="1">
        <f t="shared" si="307"/>
        <v>0</v>
      </c>
    </row>
    <row r="505" spans="1:11" x14ac:dyDescent="0.35">
      <c r="A505" s="5"/>
      <c r="B505" s="5" t="str">
        <f t="shared" si="304"/>
        <v>SPS4</v>
      </c>
      <c r="C505" s="5" t="s">
        <v>7</v>
      </c>
      <c r="D505" t="s">
        <v>219</v>
      </c>
      <c r="E505" t="str">
        <f>E408</f>
        <v>PJ/yr.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</row>
    <row r="506" spans="1:11" x14ac:dyDescent="0.35">
      <c r="A506" s="5"/>
      <c r="B506" s="5" t="str">
        <f t="shared" si="304"/>
        <v>SPS4</v>
      </c>
      <c r="C506" s="5" t="s">
        <v>7</v>
      </c>
      <c r="D506" t="s">
        <v>220</v>
      </c>
      <c r="E506" t="str">
        <f>E409</f>
        <v>PJ/yr.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</row>
    <row r="507" spans="1:11" x14ac:dyDescent="0.35">
      <c r="A507" s="5"/>
      <c r="B507" s="5" t="str">
        <f t="shared" si="304"/>
        <v>SPS4</v>
      </c>
      <c r="C507" s="5" t="s">
        <v>7</v>
      </c>
      <c r="D507" t="s">
        <v>900</v>
      </c>
      <c r="E507" t="str">
        <f>E410</f>
        <v>PJ/yr.</v>
      </c>
      <c r="F507" s="1">
        <f>SUM(F508:F509)</f>
        <v>3.3175400800016828</v>
      </c>
      <c r="G507" s="1">
        <f t="shared" ref="G507:K507" si="308">SUM(G508:G509)</f>
        <v>3.3046683397125443</v>
      </c>
      <c r="H507" s="1">
        <f t="shared" si="308"/>
        <v>4.7995184550628105</v>
      </c>
      <c r="I507" s="1">
        <f t="shared" si="308"/>
        <v>4.6782084324729603</v>
      </c>
      <c r="J507" s="1">
        <f t="shared" si="308"/>
        <v>4.4136320994093214</v>
      </c>
      <c r="K507" s="1">
        <f t="shared" si="308"/>
        <v>4.0403446286667597</v>
      </c>
    </row>
    <row r="508" spans="1:11" x14ac:dyDescent="0.35">
      <c r="A508" s="5"/>
      <c r="B508" s="5" t="str">
        <f t="shared" si="304"/>
        <v>SPS4</v>
      </c>
      <c r="C508" s="5" t="s">
        <v>7</v>
      </c>
      <c r="D508" t="s">
        <v>221</v>
      </c>
      <c r="E508" t="str">
        <f>E411</f>
        <v>PJ/yr.</v>
      </c>
      <c r="F508" s="1">
        <f>F502</f>
        <v>3.3175400800016828</v>
      </c>
      <c r="G508" s="1">
        <f t="shared" ref="G508:K508" si="309">G502</f>
        <v>3.3046683397125443</v>
      </c>
      <c r="H508" s="1">
        <f t="shared" si="309"/>
        <v>4.7995184550628105</v>
      </c>
      <c r="I508" s="1">
        <f t="shared" si="309"/>
        <v>4.6782084324729603</v>
      </c>
      <c r="J508" s="1">
        <f t="shared" si="309"/>
        <v>4.4136320994093214</v>
      </c>
      <c r="K508" s="1">
        <f t="shared" si="309"/>
        <v>4.0403446286667597</v>
      </c>
    </row>
    <row r="509" spans="1:11" x14ac:dyDescent="0.35">
      <c r="A509" s="5"/>
      <c r="B509" s="5" t="str">
        <f t="shared" si="304"/>
        <v>SPS4</v>
      </c>
      <c r="C509" s="5" t="s">
        <v>7</v>
      </c>
      <c r="D509" t="s">
        <v>222</v>
      </c>
      <c r="E509" t="str">
        <f>E415</f>
        <v>PJ/yr.</v>
      </c>
      <c r="F509" s="1">
        <f>F503</f>
        <v>0</v>
      </c>
      <c r="G509" s="1">
        <f t="shared" ref="G509:K509" si="310">G503</f>
        <v>0</v>
      </c>
      <c r="H509" s="1">
        <f t="shared" si="310"/>
        <v>0</v>
      </c>
      <c r="I509" s="1">
        <f t="shared" si="310"/>
        <v>0</v>
      </c>
      <c r="J509" s="1">
        <f t="shared" si="310"/>
        <v>0</v>
      </c>
      <c r="K509" s="1">
        <f t="shared" si="310"/>
        <v>0</v>
      </c>
    </row>
    <row r="510" spans="1:11" x14ac:dyDescent="0.35">
      <c r="A510" s="5"/>
      <c r="B510" s="5" t="str">
        <f t="shared" si="304"/>
        <v>SPS4</v>
      </c>
      <c r="C510" s="5" t="s">
        <v>7</v>
      </c>
      <c r="D510" t="s">
        <v>901</v>
      </c>
      <c r="E510" t="str">
        <f>E416</f>
        <v>PJ/yr.</v>
      </c>
      <c r="F510" s="1">
        <f>SUM(F511:F515)</f>
        <v>0.69196036498340086</v>
      </c>
      <c r="G510" s="1">
        <f t="shared" ref="G510:K510" si="311">SUM(G511:G515)</f>
        <v>1.7947161330072396</v>
      </c>
      <c r="H510" s="1">
        <f t="shared" si="311"/>
        <v>3.384050228644</v>
      </c>
      <c r="I510" s="1">
        <f t="shared" si="311"/>
        <v>3.1174788124365507</v>
      </c>
      <c r="J510" s="1">
        <f t="shared" si="311"/>
        <v>5.7234936533970711</v>
      </c>
      <c r="K510" s="1">
        <f t="shared" si="311"/>
        <v>7.2249153399082928</v>
      </c>
    </row>
    <row r="511" spans="1:11" x14ac:dyDescent="0.35">
      <c r="A511" s="5"/>
      <c r="B511" s="5" t="str">
        <f t="shared" si="304"/>
        <v>SPS4</v>
      </c>
      <c r="C511" s="5" t="s">
        <v>7</v>
      </c>
      <c r="D511" t="s">
        <v>223</v>
      </c>
      <c r="E511" t="str">
        <f>E417</f>
        <v>PJ/yr.</v>
      </c>
      <c r="F511" s="6">
        <f>'[1]Electricity and CHPs_IN'!B$42-F380</f>
        <v>0.69196036498340086</v>
      </c>
      <c r="G511" s="6">
        <f>'[1]Electricity and CHPs_IN'!C$42-G380</f>
        <v>1.7947161330072396</v>
      </c>
      <c r="H511" s="6">
        <f>'[1]Electricity and CHPs_IN'!D$42-H380</f>
        <v>3.384050228644</v>
      </c>
      <c r="I511" s="6">
        <f>'[1]Electricity and CHPs_IN'!E$42-I380</f>
        <v>3.1061211783587304</v>
      </c>
      <c r="J511" s="6">
        <f>'[1]Electricity and CHPs_IN'!F$42-J380</f>
        <v>5.7105455420530182</v>
      </c>
      <c r="K511" s="6">
        <f>'[1]Electricity and CHPs_IN'!G$42-K380</f>
        <v>7.2179014030563193</v>
      </c>
    </row>
    <row r="512" spans="1:11" x14ac:dyDescent="0.35">
      <c r="A512" s="5"/>
      <c r="B512" s="5" t="str">
        <f t="shared" si="304"/>
        <v>SPS4</v>
      </c>
      <c r="C512" s="5" t="s">
        <v>7</v>
      </c>
      <c r="D512" t="s">
        <v>224</v>
      </c>
      <c r="E512" t="str">
        <f>E418</f>
        <v>PJ/yr.</v>
      </c>
      <c r="F512" s="1">
        <f>'[1]Electricity and CHPs_IN'!B$43-F381</f>
        <v>0</v>
      </c>
      <c r="G512" s="1">
        <f>'[1]Electricity and CHPs_IN'!C$43-G381</f>
        <v>0</v>
      </c>
      <c r="H512" s="1">
        <f>'[1]Electricity and CHPs_IN'!D$43-H381</f>
        <v>0</v>
      </c>
      <c r="I512" s="1">
        <f>'[1]Electricity and CHPs_IN'!E$43-I381</f>
        <v>0</v>
      </c>
      <c r="J512" s="1">
        <f>'[1]Electricity and CHPs_IN'!F$43-J381</f>
        <v>2.0637595140927977E-4</v>
      </c>
      <c r="K512" s="1">
        <f>'[1]Electricity and CHPs_IN'!G$43-K381</f>
        <v>1.2317549649457774E-4</v>
      </c>
    </row>
    <row r="513" spans="1:11" x14ac:dyDescent="0.35">
      <c r="A513" s="5"/>
      <c r="B513" s="5" t="str">
        <f t="shared" si="304"/>
        <v>SPS4</v>
      </c>
      <c r="C513" s="5" t="s">
        <v>7</v>
      </c>
      <c r="D513" t="s">
        <v>225</v>
      </c>
      <c r="E513" t="str">
        <f>E440</f>
        <v>PJ/yr.</v>
      </c>
      <c r="F513" s="1">
        <f>'[1]Electricity and CHPs_IN'!B$50-F382</f>
        <v>0</v>
      </c>
      <c r="G513" s="1">
        <f>'[1]Electricity and CHPs_IN'!C$50-G382</f>
        <v>0</v>
      </c>
      <c r="H513" s="1">
        <f>'[1]Electricity and CHPs_IN'!D$50-H382</f>
        <v>0</v>
      </c>
      <c r="I513" s="1">
        <f>'[1]Electricity and CHPs_IN'!E$50-I382</f>
        <v>3.4858847435094414E-3</v>
      </c>
      <c r="J513" s="1">
        <f>'[1]Electricity and CHPs_IN'!F$50-J382</f>
        <v>4.3693583865695076E-3</v>
      </c>
      <c r="K513" s="1">
        <f>'[1]Electricity and CHPs_IN'!G$50-K382</f>
        <v>2.5697019946423327E-3</v>
      </c>
    </row>
    <row r="514" spans="1:11" x14ac:dyDescent="0.35">
      <c r="A514" s="5"/>
      <c r="B514" s="5" t="str">
        <f t="shared" si="304"/>
        <v>SPS4</v>
      </c>
      <c r="C514" s="5" t="s">
        <v>7</v>
      </c>
      <c r="D514" t="s">
        <v>226</v>
      </c>
      <c r="E514" t="str">
        <f>E444</f>
        <v>PJ/yr.</v>
      </c>
      <c r="F514" s="1">
        <f>'[1]Electricity and CHPs_IN'!B$53-F383</f>
        <v>0</v>
      </c>
      <c r="G514" s="1">
        <f>'[1]Electricity and CHPs_IN'!C$53-G383</f>
        <v>0</v>
      </c>
      <c r="H514" s="1">
        <f>'[1]Electricity and CHPs_IN'!D$53-H383</f>
        <v>0</v>
      </c>
      <c r="I514" s="1">
        <f>'[1]Electricity and CHPs_IN'!E$53-I383</f>
        <v>6.0977793171810568E-3</v>
      </c>
      <c r="J514" s="1">
        <f>'[1]Electricity and CHPs_IN'!F$53-J383</f>
        <v>6.4088960485311486E-3</v>
      </c>
      <c r="K514" s="1">
        <f>'[1]Electricity and CHPs_IN'!G$53-K383</f>
        <v>3.561230548424321E-3</v>
      </c>
    </row>
    <row r="515" spans="1:11" x14ac:dyDescent="0.35">
      <c r="A515" s="5"/>
      <c r="B515" s="5" t="str">
        <f t="shared" si="304"/>
        <v>SPS4</v>
      </c>
      <c r="C515" s="5" t="s">
        <v>7</v>
      </c>
      <c r="D515" t="s">
        <v>238</v>
      </c>
      <c r="E515" t="str">
        <f>E469</f>
        <v>PJ/yr.</v>
      </c>
      <c r="F515" s="1">
        <f>'[1]Electricity and CHPs_IN'!B$56-F384</f>
        <v>0</v>
      </c>
      <c r="G515" s="1">
        <f>'[1]Electricity and CHPs_IN'!C$56-G384</f>
        <v>0</v>
      </c>
      <c r="H515" s="1">
        <f>'[1]Electricity and CHPs_IN'!D$56-H384</f>
        <v>0</v>
      </c>
      <c r="I515" s="1">
        <f>'[1]Electricity and CHPs_IN'!E$56-I384</f>
        <v>1.7739700171295544E-3</v>
      </c>
      <c r="J515" s="1">
        <f>'[1]Electricity and CHPs_IN'!F$56-J384</f>
        <v>1.9634809575426685E-3</v>
      </c>
      <c r="K515" s="1">
        <f>'[1]Electricity and CHPs_IN'!G$56-K384</f>
        <v>7.5982881241171358E-4</v>
      </c>
    </row>
    <row r="516" spans="1:11" x14ac:dyDescent="0.35">
      <c r="A516" s="5"/>
      <c r="B516" s="5" t="str">
        <f t="shared" si="304"/>
        <v>SPS4</v>
      </c>
      <c r="C516" s="5" t="s">
        <v>7</v>
      </c>
      <c r="D516" t="s">
        <v>902</v>
      </c>
      <c r="E516" t="str">
        <f>E423</f>
        <v>PJ/yr.</v>
      </c>
      <c r="F516" s="1">
        <f>SUM(F517:F518)</f>
        <v>0</v>
      </c>
      <c r="G516" s="1">
        <f t="shared" ref="G516:K516" si="312">SUM(G517:G518)</f>
        <v>0</v>
      </c>
      <c r="H516" s="1">
        <f t="shared" si="312"/>
        <v>0</v>
      </c>
      <c r="I516" s="1">
        <f t="shared" si="312"/>
        <v>0</v>
      </c>
      <c r="J516" s="1">
        <f t="shared" si="312"/>
        <v>0</v>
      </c>
      <c r="K516" s="1">
        <f t="shared" si="312"/>
        <v>0</v>
      </c>
    </row>
    <row r="517" spans="1:11" x14ac:dyDescent="0.35">
      <c r="A517" s="5"/>
      <c r="B517" s="5" t="str">
        <f t="shared" si="304"/>
        <v>SPS4</v>
      </c>
      <c r="C517" s="5" t="s">
        <v>7</v>
      </c>
      <c r="D517" t="s">
        <v>227</v>
      </c>
      <c r="E517" t="str">
        <f>E424</f>
        <v>PJ/yr.</v>
      </c>
      <c r="F517" s="1">
        <f>'[1]Electricity and CHPs_IN'!B$46-F397</f>
        <v>0</v>
      </c>
      <c r="G517" s="1">
        <f>'[1]Electricity and CHPs_IN'!C$46-G397</f>
        <v>0</v>
      </c>
      <c r="H517" s="1">
        <f>'[1]Electricity and CHPs_IN'!D$46-H397</f>
        <v>0</v>
      </c>
      <c r="I517" s="1">
        <f>'[1]Electricity and CHPs_IN'!E$46-I397</f>
        <v>0</v>
      </c>
      <c r="J517" s="1">
        <f>'[1]Electricity and CHPs_IN'!F$46-J397</f>
        <v>0</v>
      </c>
      <c r="K517" s="1">
        <f>'[1]Electricity and CHPs_IN'!G$46-K397</f>
        <v>0</v>
      </c>
    </row>
    <row r="518" spans="1:11" x14ac:dyDescent="0.35">
      <c r="A518" s="5"/>
      <c r="B518" s="5" t="str">
        <f t="shared" si="304"/>
        <v>SPS4</v>
      </c>
      <c r="C518" s="5" t="s">
        <v>7</v>
      </c>
      <c r="D518" t="s">
        <v>239</v>
      </c>
      <c r="E518" t="str">
        <f>E471</f>
        <v>PJ/yr.</v>
      </c>
      <c r="F518" s="1">
        <f>'[1]Electricity and CHPs_IN'!B$57-F398</f>
        <v>0</v>
      </c>
      <c r="G518" s="1">
        <f>'[1]Electricity and CHPs_IN'!C$57-G398</f>
        <v>0</v>
      </c>
      <c r="H518" s="1">
        <f>'[1]Electricity and CHPs_IN'!D$57-H398</f>
        <v>0</v>
      </c>
      <c r="I518" s="1">
        <f>'[1]Electricity and CHPs_IN'!E$57-I398</f>
        <v>0</v>
      </c>
      <c r="J518" s="1">
        <f>'[1]Electricity and CHPs_IN'!F$57-J398</f>
        <v>0</v>
      </c>
      <c r="K518" s="1">
        <f>'[1]Electricity and CHPs_IN'!G$57-K398</f>
        <v>0</v>
      </c>
    </row>
    <row r="519" spans="1:11" x14ac:dyDescent="0.35">
      <c r="A519" s="5"/>
      <c r="B519" s="9" t="str">
        <f t="shared" si="304"/>
        <v>SPS4</v>
      </c>
      <c r="C519" s="9" t="s">
        <v>7</v>
      </c>
      <c r="D519" s="2" t="s">
        <v>241</v>
      </c>
      <c r="E519" s="5" t="s">
        <v>240</v>
      </c>
      <c r="F519" s="12" t="s">
        <v>292</v>
      </c>
      <c r="G519" s="12" t="s">
        <v>292</v>
      </c>
      <c r="H519" s="12" t="s">
        <v>292</v>
      </c>
      <c r="I519" s="12" t="s">
        <v>292</v>
      </c>
      <c r="J519" s="12" t="s">
        <v>292</v>
      </c>
      <c r="K519" s="12" t="s">
        <v>292</v>
      </c>
    </row>
    <row r="520" spans="1:11" x14ac:dyDescent="0.35">
      <c r="A520" s="5"/>
      <c r="B520" s="5" t="str">
        <f t="shared" si="304"/>
        <v>SPS4</v>
      </c>
      <c r="C520" s="5" t="s">
        <v>7</v>
      </c>
      <c r="D520" t="s">
        <v>242</v>
      </c>
      <c r="E520" s="5" t="s">
        <v>240</v>
      </c>
      <c r="F520" s="13">
        <f t="shared" ref="F520:K520" si="313">IFERROR(F63/F291,"-")</f>
        <v>0.32978916844219358</v>
      </c>
      <c r="G520" s="13">
        <f t="shared" si="313"/>
        <v>0.32672716777048333</v>
      </c>
      <c r="H520" s="13">
        <f t="shared" si="313"/>
        <v>0.32558859929148737</v>
      </c>
      <c r="I520" s="13">
        <f t="shared" si="313"/>
        <v>0.33003166548643387</v>
      </c>
      <c r="J520" s="13">
        <f t="shared" si="313"/>
        <v>0.33170584005147596</v>
      </c>
      <c r="K520" s="13" t="str">
        <f t="shared" si="313"/>
        <v>-</v>
      </c>
    </row>
    <row r="521" spans="1:11" x14ac:dyDescent="0.35">
      <c r="A521" s="5"/>
      <c r="B521" s="5" t="str">
        <f t="shared" si="304"/>
        <v>SPS4</v>
      </c>
      <c r="C521" s="5" t="s">
        <v>7</v>
      </c>
      <c r="D521" t="s">
        <v>243</v>
      </c>
      <c r="E521" s="5" t="s">
        <v>240</v>
      </c>
      <c r="F521" s="13">
        <f t="shared" ref="F521:K523" si="314">IFERROR(F65/F293,"-")</f>
        <v>1</v>
      </c>
      <c r="G521" s="13">
        <f t="shared" si="314"/>
        <v>1</v>
      </c>
      <c r="H521" s="13">
        <f t="shared" si="314"/>
        <v>1</v>
      </c>
      <c r="I521" s="13">
        <f t="shared" si="314"/>
        <v>1</v>
      </c>
      <c r="J521" s="13">
        <f t="shared" si="314"/>
        <v>1</v>
      </c>
      <c r="K521" s="13">
        <f t="shared" si="314"/>
        <v>1</v>
      </c>
    </row>
    <row r="522" spans="1:11" x14ac:dyDescent="0.35">
      <c r="A522" s="5"/>
      <c r="B522" s="5" t="str">
        <f t="shared" si="304"/>
        <v>SPS4</v>
      </c>
      <c r="C522" s="5" t="s">
        <v>7</v>
      </c>
      <c r="D522" t="s">
        <v>244</v>
      </c>
      <c r="E522" s="5" t="s">
        <v>240</v>
      </c>
      <c r="F522" s="13">
        <f t="shared" si="314"/>
        <v>1</v>
      </c>
      <c r="G522" s="13">
        <f t="shared" si="314"/>
        <v>1</v>
      </c>
      <c r="H522" s="13">
        <f t="shared" si="314"/>
        <v>1</v>
      </c>
      <c r="I522" s="13">
        <f t="shared" si="314"/>
        <v>1</v>
      </c>
      <c r="J522" s="13">
        <f t="shared" si="314"/>
        <v>1</v>
      </c>
      <c r="K522" s="13">
        <f t="shared" si="314"/>
        <v>1</v>
      </c>
    </row>
    <row r="523" spans="1:11" x14ac:dyDescent="0.35">
      <c r="A523" s="5"/>
      <c r="B523" s="5" t="str">
        <f t="shared" si="304"/>
        <v>SPS4</v>
      </c>
      <c r="C523" s="5" t="s">
        <v>7</v>
      </c>
      <c r="D523" t="s">
        <v>245</v>
      </c>
      <c r="E523" s="5" t="s">
        <v>240</v>
      </c>
      <c r="F523" s="13">
        <f t="shared" si="314"/>
        <v>0.79999985077186808</v>
      </c>
      <c r="G523" s="13">
        <f t="shared" si="314"/>
        <v>0.79999983436998834</v>
      </c>
      <c r="H523" s="13">
        <f t="shared" si="314"/>
        <v>0.79999997403222811</v>
      </c>
      <c r="I523" s="13">
        <f t="shared" si="314"/>
        <v>0.80000002057117714</v>
      </c>
      <c r="J523" s="13">
        <f t="shared" si="314"/>
        <v>0.80000009053964671</v>
      </c>
      <c r="K523" s="13">
        <f t="shared" si="314"/>
        <v>0.80000011800170712</v>
      </c>
    </row>
    <row r="524" spans="1:11" x14ac:dyDescent="0.35">
      <c r="A524" s="5"/>
      <c r="B524" s="5" t="str">
        <f t="shared" si="304"/>
        <v>SPS4</v>
      </c>
      <c r="C524" s="5" t="s">
        <v>7</v>
      </c>
      <c r="D524" t="s">
        <v>246</v>
      </c>
      <c r="E524" s="5" t="s">
        <v>240</v>
      </c>
      <c r="F524" s="13">
        <f>IFERROR(F69/F297,"-")</f>
        <v>0.32988053208764062</v>
      </c>
      <c r="G524" s="13">
        <f t="shared" ref="G524:K524" si="315">IFERROR(G69/G297,"-")</f>
        <v>0.13824478687664374</v>
      </c>
      <c r="H524" s="13">
        <f t="shared" si="315"/>
        <v>0.28382852815866255</v>
      </c>
      <c r="I524" s="13">
        <f t="shared" si="315"/>
        <v>0.28054182195571314</v>
      </c>
      <c r="J524" s="13">
        <f t="shared" si="315"/>
        <v>0.31477098747115706</v>
      </c>
      <c r="K524" s="13">
        <f t="shared" si="315"/>
        <v>0.31416584361473987</v>
      </c>
    </row>
    <row r="525" spans="1:11" x14ac:dyDescent="0.35">
      <c r="A525" s="5"/>
      <c r="B525" s="5" t="str">
        <f t="shared" si="304"/>
        <v>SPS4</v>
      </c>
      <c r="C525" s="5" t="s">
        <v>7</v>
      </c>
      <c r="D525" t="s">
        <v>247</v>
      </c>
      <c r="E525" s="5" t="s">
        <v>240</v>
      </c>
      <c r="F525" s="13">
        <f>IFERROR(F70/(F298+F411),"-")</f>
        <v>8.260091544443969E-2</v>
      </c>
      <c r="G525" s="13">
        <f t="shared" ref="G525:K525" si="316">IFERROR(G70/(G298+G411),"-")</f>
        <v>6.572647532711158E-2</v>
      </c>
      <c r="H525" s="13">
        <f t="shared" si="316"/>
        <v>9.2903261759931188E-2</v>
      </c>
      <c r="I525" s="13">
        <f t="shared" si="316"/>
        <v>9.8807519504012176E-2</v>
      </c>
      <c r="J525" s="13">
        <f t="shared" si="316"/>
        <v>0.10617492498812742</v>
      </c>
      <c r="K525" s="13">
        <f t="shared" si="316"/>
        <v>0.10631493452247555</v>
      </c>
    </row>
    <row r="526" spans="1:11" x14ac:dyDescent="0.35">
      <c r="A526" s="5"/>
      <c r="B526" s="5" t="str">
        <f t="shared" si="304"/>
        <v>SPS4</v>
      </c>
      <c r="C526" s="5" t="s">
        <v>7</v>
      </c>
      <c r="D526" t="s">
        <v>248</v>
      </c>
      <c r="E526" s="5" t="s">
        <v>240</v>
      </c>
      <c r="F526" s="13">
        <f>IFERROR(F71/(F299+F463),"-")</f>
        <v>0.23842971259363588</v>
      </c>
      <c r="G526" s="13">
        <f t="shared" ref="G526:K526" si="317">IFERROR(G71/(G299+G463),"-")</f>
        <v>0.24662504860267334</v>
      </c>
      <c r="H526" s="13">
        <f t="shared" si="317"/>
        <v>0.2251373543250694</v>
      </c>
      <c r="I526" s="13">
        <f t="shared" si="317"/>
        <v>0.26332673772627707</v>
      </c>
      <c r="J526" s="13">
        <f t="shared" si="317"/>
        <v>0.26225720046770173</v>
      </c>
      <c r="K526" s="13">
        <f t="shared" si="317"/>
        <v>0.25923472047035734</v>
      </c>
    </row>
    <row r="527" spans="1:11" x14ac:dyDescent="0.35">
      <c r="A527" s="5"/>
      <c r="B527" s="5" t="str">
        <f t="shared" si="304"/>
        <v>SPS4</v>
      </c>
      <c r="C527" s="5" t="s">
        <v>7</v>
      </c>
      <c r="D527" t="s">
        <v>249</v>
      </c>
      <c r="E527" s="5" t="s">
        <v>240</v>
      </c>
      <c r="F527" s="13" t="str">
        <f>IFERROR(F81/F309,"-")</f>
        <v>-</v>
      </c>
      <c r="G527" s="13" t="str">
        <f t="shared" ref="G527:K527" si="318">IFERROR(G81/G309,"-")</f>
        <v>-</v>
      </c>
      <c r="H527" s="13" t="str">
        <f t="shared" si="318"/>
        <v>-</v>
      </c>
      <c r="I527" s="13" t="str">
        <f t="shared" si="318"/>
        <v>-</v>
      </c>
      <c r="J527" s="13">
        <f t="shared" si="318"/>
        <v>0.61508508236893877</v>
      </c>
      <c r="K527" s="13">
        <f t="shared" si="318"/>
        <v>0.62776541536629271</v>
      </c>
    </row>
    <row r="528" spans="1:11" x14ac:dyDescent="0.35">
      <c r="A528" s="5"/>
      <c r="B528" s="5" t="str">
        <f t="shared" si="304"/>
        <v>SPS4</v>
      </c>
      <c r="C528" s="5" t="s">
        <v>7</v>
      </c>
      <c r="D528" t="s">
        <v>250</v>
      </c>
      <c r="E528" s="5" t="s">
        <v>240</v>
      </c>
      <c r="F528" s="13" t="str">
        <f>IFERROR(F82/F310,"-")</f>
        <v>-</v>
      </c>
      <c r="G528" s="13" t="str">
        <f t="shared" ref="G528:K528" si="319">IFERROR(G82/G310,"-")</f>
        <v>-</v>
      </c>
      <c r="H528" s="13" t="str">
        <f t="shared" si="319"/>
        <v>-</v>
      </c>
      <c r="I528" s="13" t="str">
        <f t="shared" si="319"/>
        <v>-</v>
      </c>
      <c r="J528" s="13">
        <f t="shared" si="319"/>
        <v>0.40544408904010337</v>
      </c>
      <c r="K528" s="13">
        <f t="shared" si="319"/>
        <v>0.41376908904543691</v>
      </c>
    </row>
    <row r="529" spans="1:11" x14ac:dyDescent="0.35">
      <c r="A529" s="5"/>
      <c r="B529" s="5" t="str">
        <f t="shared" si="304"/>
        <v>SPS4</v>
      </c>
      <c r="C529" s="5" t="s">
        <v>7</v>
      </c>
      <c r="D529" t="s">
        <v>251</v>
      </c>
      <c r="E529" s="5" t="s">
        <v>240</v>
      </c>
      <c r="F529" s="13" t="str">
        <f>IFERROR(F83/F311,"-")</f>
        <v>-</v>
      </c>
      <c r="G529" s="13" t="str">
        <f t="shared" ref="G529:K529" si="320">IFERROR(G83/G311,"-")</f>
        <v>-</v>
      </c>
      <c r="H529" s="13" t="str">
        <f t="shared" si="320"/>
        <v>-</v>
      </c>
      <c r="I529" s="13" t="str">
        <f t="shared" si="320"/>
        <v>-</v>
      </c>
      <c r="J529" s="13">
        <f t="shared" si="320"/>
        <v>0</v>
      </c>
      <c r="K529" s="13">
        <f t="shared" si="320"/>
        <v>0</v>
      </c>
    </row>
    <row r="530" spans="1:11" x14ac:dyDescent="0.35">
      <c r="A530" s="5"/>
      <c r="B530" s="5" t="str">
        <f t="shared" si="304"/>
        <v>SPS4</v>
      </c>
      <c r="C530" s="5" t="s">
        <v>7</v>
      </c>
      <c r="D530" t="s">
        <v>252</v>
      </c>
      <c r="E530" s="5" t="s">
        <v>240</v>
      </c>
      <c r="F530" s="13">
        <f>IFERROR(F84/SUM(F312,F417),"-")</f>
        <v>0.26248655373690344</v>
      </c>
      <c r="G530" s="13">
        <f t="shared" ref="G530:K530" si="321">IFERROR(G84/SUM(G312,G417),"-")</f>
        <v>0.2126573085752903</v>
      </c>
      <c r="H530" s="13">
        <f t="shared" si="321"/>
        <v>0.1950622823010274</v>
      </c>
      <c r="I530" s="13">
        <f t="shared" si="321"/>
        <v>0.23993734796676311</v>
      </c>
      <c r="J530" s="13">
        <f t="shared" si="321"/>
        <v>0.24864823830238819</v>
      </c>
      <c r="K530" s="13">
        <f t="shared" si="321"/>
        <v>0.25135828181122477</v>
      </c>
    </row>
    <row r="531" spans="1:11" x14ac:dyDescent="0.35">
      <c r="A531" s="5"/>
      <c r="B531" s="5" t="str">
        <f t="shared" si="304"/>
        <v>SPS4</v>
      </c>
      <c r="C531" s="5" t="s">
        <v>7</v>
      </c>
      <c r="D531" t="s">
        <v>253</v>
      </c>
      <c r="E531" s="5" t="s">
        <v>240</v>
      </c>
      <c r="F531" s="13" t="str">
        <f>IFERROR(F85/SUM(F313,F418),"-")</f>
        <v>-</v>
      </c>
      <c r="G531" s="13" t="str">
        <f t="shared" ref="G531:K531" si="322">IFERROR(G85/SUM(G313,G418),"-")</f>
        <v>-</v>
      </c>
      <c r="H531" s="13" t="str">
        <f t="shared" si="322"/>
        <v>-</v>
      </c>
      <c r="I531" s="13" t="str">
        <f t="shared" si="322"/>
        <v>-</v>
      </c>
      <c r="J531" s="13">
        <f t="shared" si="322"/>
        <v>0.40000000000000013</v>
      </c>
      <c r="K531" s="13">
        <f t="shared" si="322"/>
        <v>0.40000000000000036</v>
      </c>
    </row>
    <row r="532" spans="1:11" x14ac:dyDescent="0.35">
      <c r="A532" s="5"/>
      <c r="B532" s="5" t="str">
        <f t="shared" si="304"/>
        <v>SPS4</v>
      </c>
      <c r="C532" s="5" t="s">
        <v>7</v>
      </c>
      <c r="D532" t="s">
        <v>254</v>
      </c>
      <c r="E532" s="5" t="s">
        <v>240</v>
      </c>
      <c r="F532" s="13">
        <f>IFERROR(F86/SUM(F314,F469),"-'")</f>
        <v>0.34874271289089709</v>
      </c>
      <c r="G532" s="13">
        <f t="shared" ref="G532:K532" si="323">IFERROR(G86/SUM(G314,G469),"-'")</f>
        <v>0.35176745258166281</v>
      </c>
      <c r="H532" s="13">
        <f t="shared" si="323"/>
        <v>0.35036822147470292</v>
      </c>
      <c r="I532" s="13">
        <f t="shared" si="323"/>
        <v>0.35994815485097309</v>
      </c>
      <c r="J532" s="13">
        <f t="shared" si="323"/>
        <v>0.35559536327588376</v>
      </c>
      <c r="K532" s="13">
        <f t="shared" si="323"/>
        <v>0.35439416415733871</v>
      </c>
    </row>
    <row r="533" spans="1:11" x14ac:dyDescent="0.35">
      <c r="A533" s="5"/>
      <c r="B533" s="5" t="str">
        <f t="shared" si="304"/>
        <v>SPS4</v>
      </c>
      <c r="C533" s="5" t="s">
        <v>7</v>
      </c>
      <c r="D533" t="s">
        <v>255</v>
      </c>
      <c r="E533" s="5" t="s">
        <v>240</v>
      </c>
      <c r="F533" s="13" t="str">
        <f t="shared" ref="F533:F541" si="324">IFERROR(F87/SUM(F315,F470),"-")</f>
        <v>-</v>
      </c>
      <c r="G533" s="13" t="str">
        <f t="shared" ref="G533:K533" si="325">IFERROR(G87/SUM(G315,G470),"-")</f>
        <v>-</v>
      </c>
      <c r="H533" s="13" t="str">
        <f t="shared" si="325"/>
        <v>-</v>
      </c>
      <c r="I533" s="13" t="str">
        <f t="shared" si="325"/>
        <v>-</v>
      </c>
      <c r="J533" s="13">
        <f t="shared" si="325"/>
        <v>0</v>
      </c>
      <c r="K533" s="13">
        <f t="shared" si="325"/>
        <v>0</v>
      </c>
    </row>
    <row r="534" spans="1:11" x14ac:dyDescent="0.35">
      <c r="A534" s="5"/>
      <c r="B534" s="5" t="str">
        <f t="shared" si="304"/>
        <v>SPS4</v>
      </c>
      <c r="C534" s="5" t="s">
        <v>7</v>
      </c>
      <c r="D534" t="s">
        <v>256</v>
      </c>
      <c r="E534" s="5" t="s">
        <v>240</v>
      </c>
      <c r="F534" s="13" t="str">
        <f t="shared" si="324"/>
        <v>-</v>
      </c>
      <c r="G534" s="13" t="str">
        <f t="shared" ref="G534:K534" si="326">IFERROR(G88/SUM(G316,G471),"-")</f>
        <v>-</v>
      </c>
      <c r="H534" s="13" t="str">
        <f t="shared" si="326"/>
        <v>-</v>
      </c>
      <c r="I534" s="13" t="str">
        <f t="shared" si="326"/>
        <v>-</v>
      </c>
      <c r="J534" s="13" t="str">
        <f t="shared" si="326"/>
        <v>-</v>
      </c>
      <c r="K534" s="13" t="str">
        <f t="shared" si="326"/>
        <v>-</v>
      </c>
    </row>
    <row r="535" spans="1:11" x14ac:dyDescent="0.35">
      <c r="A535" s="5"/>
      <c r="B535" s="5" t="str">
        <f t="shared" si="304"/>
        <v>SPS4</v>
      </c>
      <c r="C535" s="5" t="s">
        <v>7</v>
      </c>
      <c r="D535" t="s">
        <v>257</v>
      </c>
      <c r="E535" s="5" t="s">
        <v>240</v>
      </c>
      <c r="F535" s="13">
        <f t="shared" si="324"/>
        <v>0.21472637498294989</v>
      </c>
      <c r="G535" s="13">
        <f t="shared" ref="G535:K535" si="327">IFERROR(G89/SUM(G317,G472),"-")</f>
        <v>0.26874032070933412</v>
      </c>
      <c r="H535" s="13">
        <f t="shared" si="327"/>
        <v>0.2087251499278632</v>
      </c>
      <c r="I535" s="13">
        <f t="shared" si="327"/>
        <v>0.261463482946448</v>
      </c>
      <c r="J535" s="13">
        <f t="shared" si="327"/>
        <v>0.23666480057178865</v>
      </c>
      <c r="K535" s="13">
        <f t="shared" si="327"/>
        <v>0.22070652453542672</v>
      </c>
    </row>
    <row r="536" spans="1:11" x14ac:dyDescent="0.35">
      <c r="A536" s="5"/>
      <c r="B536" s="5" t="str">
        <f t="shared" si="304"/>
        <v>SPS4</v>
      </c>
      <c r="C536" s="5" t="s">
        <v>7</v>
      </c>
      <c r="D536" t="s">
        <v>258</v>
      </c>
      <c r="E536" s="5" t="s">
        <v>240</v>
      </c>
      <c r="F536" s="13" t="str">
        <f t="shared" si="324"/>
        <v>-</v>
      </c>
      <c r="G536" s="13" t="str">
        <f t="shared" ref="G536:K536" si="328">IFERROR(G90/SUM(G318,G473),"-")</f>
        <v>-</v>
      </c>
      <c r="H536" s="13" t="str">
        <f t="shared" si="328"/>
        <v>-</v>
      </c>
      <c r="I536" s="13">
        <f t="shared" si="328"/>
        <v>0.42</v>
      </c>
      <c r="J536" s="13">
        <f t="shared" si="328"/>
        <v>0.43999999999999984</v>
      </c>
      <c r="K536" s="13">
        <f t="shared" si="328"/>
        <v>0.45000000000000051</v>
      </c>
    </row>
    <row r="537" spans="1:11" x14ac:dyDescent="0.35">
      <c r="A537" s="5"/>
      <c r="B537" s="5" t="str">
        <f t="shared" si="304"/>
        <v>SPS4</v>
      </c>
      <c r="C537" s="5" t="s">
        <v>7</v>
      </c>
      <c r="D537" t="s">
        <v>259</v>
      </c>
      <c r="E537" s="5" t="s">
        <v>240</v>
      </c>
      <c r="F537" s="13">
        <f t="shared" si="324"/>
        <v>0.2510262519131955</v>
      </c>
      <c r="G537" s="13">
        <f t="shared" ref="G537:K537" si="329">IFERROR(G91/SUM(G319,G474),"-")</f>
        <v>0.28857150854660535</v>
      </c>
      <c r="H537" s="13">
        <f t="shared" si="329"/>
        <v>0.24602650330327192</v>
      </c>
      <c r="I537" s="13">
        <f t="shared" si="329"/>
        <v>0.29978392503085649</v>
      </c>
      <c r="J537" s="13">
        <f t="shared" si="329"/>
        <v>0.30368089205264731</v>
      </c>
      <c r="K537" s="13">
        <f t="shared" si="329"/>
        <v>0.30791497348874486</v>
      </c>
    </row>
    <row r="538" spans="1:11" x14ac:dyDescent="0.35">
      <c r="A538" s="5"/>
      <c r="B538" s="5" t="str">
        <f t="shared" si="304"/>
        <v>SPS4</v>
      </c>
      <c r="C538" s="5" t="s">
        <v>7</v>
      </c>
      <c r="D538" t="s">
        <v>260</v>
      </c>
      <c r="E538" s="5" t="s">
        <v>240</v>
      </c>
      <c r="F538" s="13" t="str">
        <f t="shared" si="324"/>
        <v>-</v>
      </c>
      <c r="G538" s="13" t="str">
        <f t="shared" ref="G538:K538" si="330">IFERROR(G92/SUM(G320,G475),"-")</f>
        <v>-</v>
      </c>
      <c r="H538" s="13" t="str">
        <f t="shared" si="330"/>
        <v>-</v>
      </c>
      <c r="I538" s="13">
        <f t="shared" si="330"/>
        <v>0.4200000000000001</v>
      </c>
      <c r="J538" s="13">
        <f t="shared" si="330"/>
        <v>0.44000000000000022</v>
      </c>
      <c r="K538" s="13">
        <f t="shared" si="330"/>
        <v>0.44999999999999984</v>
      </c>
    </row>
    <row r="539" spans="1:11" x14ac:dyDescent="0.35">
      <c r="A539" s="5"/>
      <c r="B539" s="5" t="str">
        <f t="shared" si="304"/>
        <v>SPS4</v>
      </c>
      <c r="C539" s="5" t="s">
        <v>7</v>
      </c>
      <c r="D539" t="s">
        <v>261</v>
      </c>
      <c r="E539" s="5" t="s">
        <v>240</v>
      </c>
      <c r="F539" s="13">
        <f t="shared" si="324"/>
        <v>0.36265810060054537</v>
      </c>
      <c r="G539" s="13">
        <f t="shared" ref="G539:K539" si="331">IFERROR(G93/SUM(G321,G476),"-")</f>
        <v>0.36306690499151911</v>
      </c>
      <c r="H539" s="13">
        <f t="shared" si="331"/>
        <v>0.36344750505930468</v>
      </c>
      <c r="I539" s="13">
        <f t="shared" si="331"/>
        <v>0.36472259178154948</v>
      </c>
      <c r="J539" s="13">
        <f t="shared" si="331"/>
        <v>0.37490734912559259</v>
      </c>
      <c r="K539" s="13">
        <f t="shared" si="331"/>
        <v>0.38515373838694483</v>
      </c>
    </row>
    <row r="540" spans="1:11" x14ac:dyDescent="0.35">
      <c r="A540" s="5"/>
      <c r="B540" s="5" t="str">
        <f t="shared" si="304"/>
        <v>SPS4</v>
      </c>
      <c r="C540" s="5" t="s">
        <v>7</v>
      </c>
      <c r="D540" t="s">
        <v>262</v>
      </c>
      <c r="E540" s="5" t="s">
        <v>240</v>
      </c>
      <c r="F540" s="13">
        <f t="shared" si="324"/>
        <v>0.35722230238507197</v>
      </c>
      <c r="G540" s="13">
        <f t="shared" ref="G540:K540" si="332">IFERROR(G94/SUM(G322,G477),"-")</f>
        <v>0.35999598969787333</v>
      </c>
      <c r="H540" s="13">
        <f t="shared" si="332"/>
        <v>0.33973059718929605</v>
      </c>
      <c r="I540" s="13">
        <f t="shared" si="332"/>
        <v>0.35262855747283822</v>
      </c>
      <c r="J540" s="13">
        <f t="shared" si="332"/>
        <v>0.35453510607922101</v>
      </c>
      <c r="K540" s="13">
        <f t="shared" si="332"/>
        <v>0.20490750890490902</v>
      </c>
    </row>
    <row r="541" spans="1:11" x14ac:dyDescent="0.35">
      <c r="A541" s="5"/>
      <c r="B541" s="5" t="str">
        <f t="shared" si="304"/>
        <v>SPS4</v>
      </c>
      <c r="C541" s="5" t="s">
        <v>7</v>
      </c>
      <c r="D541" t="s">
        <v>263</v>
      </c>
      <c r="E541" s="5" t="s">
        <v>240</v>
      </c>
      <c r="F541" s="13" t="str">
        <f t="shared" si="324"/>
        <v>-</v>
      </c>
      <c r="G541" s="13" t="str">
        <f t="shared" ref="G541:K541" si="333">IFERROR(G95/SUM(G323,G478),"-")</f>
        <v>-</v>
      </c>
      <c r="H541" s="13" t="str">
        <f t="shared" si="333"/>
        <v>-</v>
      </c>
      <c r="I541" s="13">
        <f t="shared" si="333"/>
        <v>0.59999999999999987</v>
      </c>
      <c r="J541" s="13">
        <f t="shared" si="333"/>
        <v>0.6099999999999991</v>
      </c>
      <c r="K541" s="13">
        <f t="shared" si="333"/>
        <v>0.62</v>
      </c>
    </row>
    <row r="542" spans="1:11" x14ac:dyDescent="0.35">
      <c r="B542" s="5" t="str">
        <f t="shared" si="304"/>
        <v>SPS4</v>
      </c>
      <c r="C542" s="5" t="s">
        <v>7</v>
      </c>
      <c r="D542" t="s">
        <v>264</v>
      </c>
      <c r="E542" s="5" t="s">
        <v>240</v>
      </c>
      <c r="F542" s="13">
        <f>IFERROR(F129/F357,"-")</f>
        <v>0.35745695376016584</v>
      </c>
      <c r="G542" s="13">
        <f t="shared" ref="G542:K542" si="334">IFERROR(G129/G357,"-")</f>
        <v>0.35745695376016595</v>
      </c>
      <c r="H542" s="13">
        <f t="shared" si="334"/>
        <v>0.35745695376016623</v>
      </c>
      <c r="I542" s="13">
        <f t="shared" si="334"/>
        <v>0.35745695376016595</v>
      </c>
      <c r="J542" s="13">
        <f t="shared" si="334"/>
        <v>0.35745695376016606</v>
      </c>
      <c r="K542" s="13">
        <f t="shared" si="334"/>
        <v>0.35745695376016562</v>
      </c>
    </row>
    <row r="543" spans="1:11" x14ac:dyDescent="0.35">
      <c r="B543" s="5" t="str">
        <f t="shared" si="304"/>
        <v>SPS4</v>
      </c>
      <c r="C543" s="5" t="s">
        <v>7</v>
      </c>
      <c r="D543" t="s">
        <v>265</v>
      </c>
      <c r="E543" s="5" t="s">
        <v>240</v>
      </c>
      <c r="F543" s="13" t="str">
        <f>IFERROR(F130/F358,"-")</f>
        <v>-</v>
      </c>
      <c r="G543" s="13" t="str">
        <f t="shared" ref="G543:K543" si="335">IFERROR(G130/G358,"-")</f>
        <v>-</v>
      </c>
      <c r="H543" s="13" t="str">
        <f t="shared" si="335"/>
        <v>-</v>
      </c>
      <c r="I543" s="13" t="str">
        <f t="shared" si="335"/>
        <v>-</v>
      </c>
      <c r="J543" s="13" t="str">
        <f t="shared" si="335"/>
        <v>-</v>
      </c>
      <c r="K543" s="13" t="str">
        <f t="shared" si="335"/>
        <v>-</v>
      </c>
    </row>
    <row r="544" spans="1:11" x14ac:dyDescent="0.35">
      <c r="B544" s="5" t="str">
        <f t="shared" si="304"/>
        <v>SPS4</v>
      </c>
      <c r="C544" s="5" t="s">
        <v>7</v>
      </c>
      <c r="D544" t="s">
        <v>266</v>
      </c>
      <c r="E544" s="5" t="s">
        <v>240</v>
      </c>
      <c r="F544" s="13">
        <f>IFERROR(F131/SUM(F359,F426),"-")</f>
        <v>3.8383652462712886E-2</v>
      </c>
      <c r="G544" s="13">
        <f t="shared" ref="G544:K544" si="336">IFERROR(G131/SUM(G359,G426),"-")</f>
        <v>3.7021014666183794E-2</v>
      </c>
      <c r="H544" s="13">
        <f t="shared" si="336"/>
        <v>3.736350576599104E-2</v>
      </c>
      <c r="I544" s="13">
        <f t="shared" si="336"/>
        <v>3.69919565337355E-2</v>
      </c>
      <c r="J544" s="13">
        <f t="shared" si="336"/>
        <v>3.7144070660355313E-2</v>
      </c>
      <c r="K544" s="13">
        <f t="shared" si="336"/>
        <v>3.4452077940323934E-2</v>
      </c>
    </row>
    <row r="545" spans="2:11" x14ac:dyDescent="0.35">
      <c r="B545" s="5" t="str">
        <f t="shared" si="304"/>
        <v>SPS4</v>
      </c>
      <c r="C545" s="5" t="s">
        <v>7</v>
      </c>
      <c r="D545" t="s">
        <v>267</v>
      </c>
      <c r="E545" s="5" t="s">
        <v>240</v>
      </c>
      <c r="F545" s="13" t="str">
        <f>IFERROR(F132/SUM(F360,F427),"-")</f>
        <v>-</v>
      </c>
      <c r="G545" s="13" t="str">
        <f t="shared" ref="G545:K545" si="337">IFERROR(G132/SUM(G360,G427),"-")</f>
        <v>-</v>
      </c>
      <c r="H545" s="13" t="str">
        <f t="shared" si="337"/>
        <v>-</v>
      </c>
      <c r="I545" s="13" t="str">
        <f t="shared" si="337"/>
        <v>-</v>
      </c>
      <c r="J545" s="13" t="str">
        <f t="shared" si="337"/>
        <v>-</v>
      </c>
      <c r="K545" s="13" t="str">
        <f t="shared" si="337"/>
        <v>-</v>
      </c>
    </row>
    <row r="546" spans="2:11" x14ac:dyDescent="0.35">
      <c r="B546" s="5" t="str">
        <f t="shared" si="304"/>
        <v>SPS4</v>
      </c>
      <c r="C546" s="5" t="s">
        <v>7</v>
      </c>
      <c r="D546" t="s">
        <v>268</v>
      </c>
      <c r="E546" s="5" t="s">
        <v>240</v>
      </c>
      <c r="F546" s="13">
        <f>IFERROR(F133/SUM(F361,F502),"-")</f>
        <v>6.1976881203840817E-2</v>
      </c>
      <c r="G546" s="13">
        <f t="shared" ref="G546:K546" si="338">IFERROR(G133/SUM(G361,G502),"-")</f>
        <v>6.1973400452883715E-2</v>
      </c>
      <c r="H546" s="13">
        <f t="shared" si="338"/>
        <v>6.1972650567355257E-2</v>
      </c>
      <c r="I546" s="13">
        <f t="shared" si="338"/>
        <v>6.1972650567355285E-2</v>
      </c>
      <c r="J546" s="13">
        <f t="shared" si="338"/>
        <v>6.1972650567355368E-2</v>
      </c>
      <c r="K546" s="13">
        <f t="shared" si="338"/>
        <v>6.1972650567355299E-2</v>
      </c>
    </row>
    <row r="547" spans="2:11" x14ac:dyDescent="0.35">
      <c r="B547" s="5" t="str">
        <f t="shared" si="304"/>
        <v>SPS4</v>
      </c>
      <c r="C547" s="5" t="s">
        <v>7</v>
      </c>
      <c r="D547" t="s">
        <v>269</v>
      </c>
      <c r="E547" s="5" t="s">
        <v>240</v>
      </c>
      <c r="F547" s="13" t="str">
        <f>IFERROR(F134/SUM(F362,F503),"-")</f>
        <v>-</v>
      </c>
      <c r="G547" s="13" t="str">
        <f t="shared" ref="G547:K547" si="339">IFERROR(G134/SUM(G362,G503),"-")</f>
        <v>-</v>
      </c>
      <c r="H547" s="13" t="str">
        <f t="shared" si="339"/>
        <v>-</v>
      </c>
      <c r="I547" s="13" t="str">
        <f t="shared" si="339"/>
        <v>-</v>
      </c>
      <c r="J547" s="13" t="str">
        <f t="shared" si="339"/>
        <v>-</v>
      </c>
      <c r="K547" s="13" t="str">
        <f t="shared" si="339"/>
        <v>-</v>
      </c>
    </row>
    <row r="548" spans="2:11" x14ac:dyDescent="0.35">
      <c r="B548" s="5" t="str">
        <f t="shared" si="304"/>
        <v>SPS4</v>
      </c>
      <c r="C548" s="5" t="s">
        <v>7</v>
      </c>
      <c r="D548" t="s">
        <v>270</v>
      </c>
      <c r="E548" s="5" t="s">
        <v>240</v>
      </c>
      <c r="F548" s="13">
        <f>IFERROR(F150/SUM(F378,F435),"-")</f>
        <v>0.24389131333331451</v>
      </c>
      <c r="G548" s="13">
        <f t="shared" ref="G548:K548" si="340">IFERROR(G150/SUM(G378,G435),"-")</f>
        <v>0.2500958436063665</v>
      </c>
      <c r="H548" s="13">
        <f t="shared" si="340"/>
        <v>0.22299227443327396</v>
      </c>
      <c r="I548" s="13">
        <f t="shared" si="340"/>
        <v>0.2750706881992252</v>
      </c>
      <c r="J548" s="13">
        <f t="shared" si="340"/>
        <v>0.30622543100860722</v>
      </c>
      <c r="K548" s="13">
        <f t="shared" si="340"/>
        <v>0.30615489797473111</v>
      </c>
    </row>
    <row r="549" spans="2:11" x14ac:dyDescent="0.35">
      <c r="B549" s="5" t="str">
        <f t="shared" si="304"/>
        <v>SPS4</v>
      </c>
      <c r="C549" s="5" t="s">
        <v>7</v>
      </c>
      <c r="D549" t="s">
        <v>271</v>
      </c>
      <c r="E549" s="5" t="s">
        <v>240</v>
      </c>
      <c r="F549" s="13" t="str">
        <f>IFERROR(F151/F379,"-")</f>
        <v>-</v>
      </c>
      <c r="G549" s="13" t="str">
        <f t="shared" ref="G549:K549" si="341">IFERROR(G151/G379,"-")</f>
        <v>-</v>
      </c>
      <c r="H549" s="13" t="str">
        <f t="shared" si="341"/>
        <v>-</v>
      </c>
      <c r="I549" s="13" t="str">
        <f t="shared" si="341"/>
        <v>-</v>
      </c>
      <c r="J549" s="13">
        <f t="shared" si="341"/>
        <v>0</v>
      </c>
      <c r="K549" s="13">
        <f t="shared" si="341"/>
        <v>0</v>
      </c>
    </row>
    <row r="550" spans="2:11" x14ac:dyDescent="0.35">
      <c r="B550" s="5" t="str">
        <f t="shared" si="304"/>
        <v>SPS4</v>
      </c>
      <c r="C550" s="5" t="s">
        <v>7</v>
      </c>
      <c r="D550" t="s">
        <v>272</v>
      </c>
      <c r="E550" s="5" t="s">
        <v>240</v>
      </c>
      <c r="F550" s="13">
        <f>IFERROR(F152/SUM(F380,F511),"-")</f>
        <v>0.19761157358167106</v>
      </c>
      <c r="G550" s="13">
        <f t="shared" ref="G550:K550" si="342">IFERROR(G152/SUM(G380,G511),"-")</f>
        <v>0.22581526619792308</v>
      </c>
      <c r="H550" s="13">
        <f t="shared" si="342"/>
        <v>0.25097804868411328</v>
      </c>
      <c r="I550" s="13">
        <f t="shared" si="342"/>
        <v>0.33849873937989516</v>
      </c>
      <c r="J550" s="13">
        <f t="shared" si="342"/>
        <v>0.35308959540468993</v>
      </c>
      <c r="K550" s="13">
        <f t="shared" si="342"/>
        <v>0.36768063508277138</v>
      </c>
    </row>
    <row r="551" spans="2:11" x14ac:dyDescent="0.35">
      <c r="B551" s="5" t="str">
        <f t="shared" si="304"/>
        <v>SPS4</v>
      </c>
      <c r="C551" s="5" t="s">
        <v>7</v>
      </c>
      <c r="D551" t="s">
        <v>273</v>
      </c>
      <c r="E551" s="5" t="s">
        <v>240</v>
      </c>
      <c r="F551" s="13" t="str">
        <f>IFERROR(F153/SUM(F381,F512),"-")</f>
        <v>-</v>
      </c>
      <c r="G551" s="13" t="str">
        <f t="shared" ref="G551:K551" si="343">IFERROR(G153/SUM(G381,G512),"-")</f>
        <v>-</v>
      </c>
      <c r="H551" s="13" t="str">
        <f t="shared" si="343"/>
        <v>-</v>
      </c>
      <c r="I551" s="13" t="str">
        <f t="shared" si="343"/>
        <v>-</v>
      </c>
      <c r="J551" s="13">
        <f t="shared" si="343"/>
        <v>0</v>
      </c>
      <c r="K551" s="13">
        <f t="shared" si="343"/>
        <v>0</v>
      </c>
    </row>
    <row r="552" spans="2:11" x14ac:dyDescent="0.35">
      <c r="B552" s="5" t="str">
        <f t="shared" si="304"/>
        <v>SPS4</v>
      </c>
      <c r="C552" s="5" t="s">
        <v>7</v>
      </c>
      <c r="D552" t="s">
        <v>274</v>
      </c>
      <c r="E552" s="5" t="s">
        <v>240</v>
      </c>
      <c r="F552" s="13" t="str">
        <f>IFERROR(F154/SUM(F382,F513),"-")</f>
        <v>-</v>
      </c>
      <c r="G552" s="13" t="str">
        <f t="shared" ref="G552:K552" si="344">IFERROR(G154/SUM(G382,G513),"-")</f>
        <v>-</v>
      </c>
      <c r="H552" s="13" t="str">
        <f t="shared" si="344"/>
        <v>-</v>
      </c>
      <c r="I552" s="13">
        <f t="shared" si="344"/>
        <v>0.20133795530744886</v>
      </c>
      <c r="J552" s="13">
        <f t="shared" si="344"/>
        <v>0.20964237469492436</v>
      </c>
      <c r="K552" s="13">
        <f t="shared" si="344"/>
        <v>0.21642739881363665</v>
      </c>
    </row>
    <row r="553" spans="2:11" x14ac:dyDescent="0.35">
      <c r="B553" s="5" t="str">
        <f t="shared" si="304"/>
        <v>SPS4</v>
      </c>
      <c r="C553" s="5" t="s">
        <v>7</v>
      </c>
      <c r="D553" t="s">
        <v>275</v>
      </c>
      <c r="E553" s="5" t="s">
        <v>240</v>
      </c>
      <c r="F553" s="13" t="str">
        <f>IFERROR(F155/SUM(F383,F514),"-")</f>
        <v>-</v>
      </c>
      <c r="G553" s="13" t="str">
        <f t="shared" ref="G553:K553" si="345">IFERROR(G155/SUM(G383,G514),"-")</f>
        <v>-</v>
      </c>
      <c r="H553" s="13" t="str">
        <f t="shared" si="345"/>
        <v>-</v>
      </c>
      <c r="I553" s="13">
        <f t="shared" si="345"/>
        <v>0.23815640845979388</v>
      </c>
      <c r="J553" s="13">
        <f t="shared" si="345"/>
        <v>0.24037301515264317</v>
      </c>
      <c r="K553" s="13">
        <f t="shared" si="345"/>
        <v>0.24624719556387839</v>
      </c>
    </row>
    <row r="554" spans="2:11" x14ac:dyDescent="0.35">
      <c r="B554" s="5" t="str">
        <f t="shared" si="304"/>
        <v>SPS4</v>
      </c>
      <c r="C554" s="5" t="s">
        <v>7</v>
      </c>
      <c r="D554" t="s">
        <v>293</v>
      </c>
      <c r="E554" s="5" t="s">
        <v>240</v>
      </c>
      <c r="F554" s="13" t="str">
        <f>IFERROR(F156/SUM(F384,F515),"-")</f>
        <v>-</v>
      </c>
      <c r="G554" s="13" t="str">
        <f t="shared" ref="G554:K554" si="346">IFERROR(G156/SUM(G384,G515),"-")</f>
        <v>-</v>
      </c>
      <c r="H554" s="13" t="str">
        <f t="shared" si="346"/>
        <v>-</v>
      </c>
      <c r="I554" s="13">
        <f t="shared" si="346"/>
        <v>0.28982162598562683</v>
      </c>
      <c r="J554" s="13">
        <f t="shared" si="346"/>
        <v>0.29997071686969679</v>
      </c>
      <c r="K554" s="13">
        <f t="shared" si="346"/>
        <v>0.27892846852511405</v>
      </c>
    </row>
    <row r="555" spans="2:11" x14ac:dyDescent="0.35">
      <c r="B555" s="5" t="str">
        <f t="shared" si="304"/>
        <v>SPS4</v>
      </c>
      <c r="C555" s="5" t="s">
        <v>7</v>
      </c>
      <c r="D555" t="s">
        <v>276</v>
      </c>
      <c r="E555" s="5" t="s">
        <v>240</v>
      </c>
      <c r="F555" s="13">
        <v>1</v>
      </c>
      <c r="G555" s="13">
        <v>1</v>
      </c>
      <c r="H555" s="13">
        <v>1</v>
      </c>
      <c r="I555" s="13">
        <v>1</v>
      </c>
      <c r="J555" s="13">
        <v>1</v>
      </c>
      <c r="K555" s="13">
        <v>1</v>
      </c>
    </row>
    <row r="556" spans="2:11" x14ac:dyDescent="0.35">
      <c r="B556" s="5" t="str">
        <f t="shared" si="304"/>
        <v>SPS4</v>
      </c>
      <c r="C556" s="5" t="s">
        <v>7</v>
      </c>
      <c r="D556" t="s">
        <v>277</v>
      </c>
      <c r="E556" s="5" t="s">
        <v>240</v>
      </c>
      <c r="F556" s="13">
        <v>1</v>
      </c>
      <c r="G556" s="13">
        <v>1</v>
      </c>
      <c r="H556" s="13">
        <v>1</v>
      </c>
      <c r="I556" s="13">
        <v>1</v>
      </c>
      <c r="J556" s="13">
        <v>1</v>
      </c>
      <c r="K556" s="13">
        <v>1</v>
      </c>
    </row>
    <row r="557" spans="2:11" x14ac:dyDescent="0.35">
      <c r="B557" s="5" t="str">
        <f t="shared" si="304"/>
        <v>SPS4</v>
      </c>
      <c r="C557" s="5" t="s">
        <v>7</v>
      </c>
      <c r="D557" t="s">
        <v>278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</row>
    <row r="558" spans="2:11" x14ac:dyDescent="0.35">
      <c r="B558" s="5" t="str">
        <f t="shared" si="304"/>
        <v>SPS4</v>
      </c>
      <c r="C558" s="5" t="s">
        <v>7</v>
      </c>
      <c r="D558" t="s">
        <v>279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</row>
    <row r="559" spans="2:11" x14ac:dyDescent="0.35">
      <c r="B559" s="5" t="str">
        <f t="shared" si="304"/>
        <v>SPS4</v>
      </c>
      <c r="C559" s="5" t="s">
        <v>7</v>
      </c>
      <c r="D559" t="s">
        <v>280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</row>
    <row r="560" spans="2:11" x14ac:dyDescent="0.35">
      <c r="B560" s="5" t="str">
        <f t="shared" si="304"/>
        <v>SPS4</v>
      </c>
      <c r="C560" s="5" t="s">
        <v>7</v>
      </c>
      <c r="D560" t="s">
        <v>281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</row>
    <row r="561" spans="2:11" x14ac:dyDescent="0.35">
      <c r="B561" s="5" t="str">
        <f t="shared" si="304"/>
        <v>SPS4</v>
      </c>
      <c r="C561" s="5" t="s">
        <v>7</v>
      </c>
      <c r="D561" t="s">
        <v>282</v>
      </c>
      <c r="E561" s="5" t="s">
        <v>240</v>
      </c>
      <c r="F561" s="13" t="str">
        <f>IFERROR(F166/F394,"-")</f>
        <v>-</v>
      </c>
      <c r="G561" s="13" t="str">
        <f t="shared" ref="G561:K561" si="347">IFERROR(G166/G394,"-")</f>
        <v>-</v>
      </c>
      <c r="H561" s="13" t="str">
        <f t="shared" si="347"/>
        <v>-</v>
      </c>
      <c r="I561" s="13" t="str">
        <f t="shared" si="347"/>
        <v>-</v>
      </c>
      <c r="J561" s="13">
        <f t="shared" si="347"/>
        <v>0.15000000000000005</v>
      </c>
      <c r="K561" s="13">
        <f t="shared" si="347"/>
        <v>0.14999999999999994</v>
      </c>
    </row>
    <row r="562" spans="2:11" x14ac:dyDescent="0.35">
      <c r="B562" s="5" t="str">
        <f t="shared" si="304"/>
        <v>SPS4</v>
      </c>
      <c r="C562" s="5" t="s">
        <v>7</v>
      </c>
      <c r="D562" t="s">
        <v>283</v>
      </c>
      <c r="E562" s="5" t="s">
        <v>240</v>
      </c>
      <c r="F562" s="13" t="str">
        <f>IFERROR(F168/SUM(F396,F437),"-")</f>
        <v>-</v>
      </c>
      <c r="G562" s="13" t="str">
        <f t="shared" ref="G562:K562" si="348">IFERROR(G168/SUM(G396,G437),"-")</f>
        <v>-</v>
      </c>
      <c r="H562" s="13" t="str">
        <f t="shared" si="348"/>
        <v>-</v>
      </c>
      <c r="I562" s="13" t="str">
        <f t="shared" si="348"/>
        <v>-</v>
      </c>
      <c r="J562" s="13" t="str">
        <f t="shared" si="348"/>
        <v>-</v>
      </c>
      <c r="K562" s="13" t="str">
        <f t="shared" si="348"/>
        <v>-</v>
      </c>
    </row>
    <row r="563" spans="2:11" x14ac:dyDescent="0.35">
      <c r="B563" s="5" t="str">
        <f t="shared" si="304"/>
        <v>SPS4</v>
      </c>
      <c r="C563" s="5" t="s">
        <v>7</v>
      </c>
      <c r="D563" t="s">
        <v>284</v>
      </c>
      <c r="E563" s="5" t="s">
        <v>240</v>
      </c>
      <c r="F563" s="13" t="str">
        <f>IFERROR(F169/SUM(F397,F517),"-")</f>
        <v>-</v>
      </c>
      <c r="G563" s="13" t="str">
        <f t="shared" ref="G563:K563" si="349">IFERROR(G169/SUM(G397,G517),"-")</f>
        <v>-</v>
      </c>
      <c r="H563" s="13" t="str">
        <f t="shared" si="349"/>
        <v>-</v>
      </c>
      <c r="I563" s="13" t="str">
        <f t="shared" si="349"/>
        <v>-</v>
      </c>
      <c r="J563" s="13" t="str">
        <f t="shared" si="349"/>
        <v>-</v>
      </c>
      <c r="K563" s="13" t="str">
        <f t="shared" si="349"/>
        <v>-</v>
      </c>
    </row>
    <row r="564" spans="2:11" x14ac:dyDescent="0.35">
      <c r="B564" s="5" t="str">
        <f t="shared" ref="B564:B627" si="350">B563</f>
        <v>SPS4</v>
      </c>
      <c r="C564" s="5" t="s">
        <v>7</v>
      </c>
      <c r="D564" t="s">
        <v>285</v>
      </c>
      <c r="E564" s="5" t="s">
        <v>240</v>
      </c>
      <c r="F564" s="13" t="str">
        <f>IFERROR(F170/SUM(F398,F518),"-")</f>
        <v>-</v>
      </c>
      <c r="G564" s="13" t="str">
        <f t="shared" ref="G564:K564" si="351">IFERROR(G170/SUM(G398,G518),"-")</f>
        <v>-</v>
      </c>
      <c r="H564" s="13" t="str">
        <f t="shared" si="351"/>
        <v>-</v>
      </c>
      <c r="I564" s="13" t="str">
        <f t="shared" si="351"/>
        <v>-</v>
      </c>
      <c r="J564" s="13" t="str">
        <f t="shared" si="351"/>
        <v>-</v>
      </c>
      <c r="K564" s="13" t="str">
        <f t="shared" si="351"/>
        <v>-</v>
      </c>
    </row>
    <row r="565" spans="2:11" x14ac:dyDescent="0.35">
      <c r="B565" s="5" t="str">
        <f t="shared" si="350"/>
        <v>SPS4</v>
      </c>
      <c r="C565" s="5" t="s">
        <v>7</v>
      </c>
      <c r="D565" t="s">
        <v>286</v>
      </c>
      <c r="E565" s="5" t="s">
        <v>240</v>
      </c>
      <c r="F565" s="13">
        <f t="shared" ref="F565:K571" si="352">IFERROR(F172/F400,"-")</f>
        <v>0.69989139466864259</v>
      </c>
      <c r="G565" s="13">
        <f t="shared" si="352"/>
        <v>0.69920497006077276</v>
      </c>
      <c r="H565" s="13">
        <f t="shared" si="352"/>
        <v>0.69999957250590106</v>
      </c>
      <c r="I565" s="13">
        <f t="shared" si="352"/>
        <v>0.69995181768032111</v>
      </c>
      <c r="J565" s="13">
        <f t="shared" si="352"/>
        <v>0.69997236421889231</v>
      </c>
      <c r="K565" s="13">
        <f t="shared" si="352"/>
        <v>0.69998173211217174</v>
      </c>
    </row>
    <row r="566" spans="2:11" x14ac:dyDescent="0.35">
      <c r="B566" s="5" t="str">
        <f t="shared" si="350"/>
        <v>SPS4</v>
      </c>
      <c r="C566" s="5" t="s">
        <v>7</v>
      </c>
      <c r="D566" t="s">
        <v>287</v>
      </c>
      <c r="E566" s="5" t="s">
        <v>240</v>
      </c>
      <c r="F566" s="13">
        <f t="shared" si="352"/>
        <v>0.85939332734986096</v>
      </c>
      <c r="G566" s="13">
        <f t="shared" si="352"/>
        <v>0.86201053479106537</v>
      </c>
      <c r="H566" s="13">
        <f t="shared" si="352"/>
        <v>0.86701413400506688</v>
      </c>
      <c r="I566" s="13">
        <f t="shared" si="352"/>
        <v>0.8664838739463554</v>
      </c>
      <c r="J566" s="13">
        <f t="shared" si="352"/>
        <v>0.86702572443086068</v>
      </c>
      <c r="K566" s="13">
        <f t="shared" si="352"/>
        <v>0.8670378951075326</v>
      </c>
    </row>
    <row r="567" spans="2:11" x14ac:dyDescent="0.35">
      <c r="B567" s="5" t="str">
        <f t="shared" si="350"/>
        <v>SPS4</v>
      </c>
      <c r="C567" s="5" t="s">
        <v>7</v>
      </c>
      <c r="D567" t="s">
        <v>288</v>
      </c>
      <c r="E567" s="5" t="s">
        <v>240</v>
      </c>
      <c r="F567" s="13">
        <f t="shared" si="352"/>
        <v>0.89314028035004411</v>
      </c>
      <c r="G567" s="13">
        <f t="shared" si="352"/>
        <v>0.89397379673502764</v>
      </c>
      <c r="H567" s="13">
        <f t="shared" si="352"/>
        <v>0.89390513261247306</v>
      </c>
      <c r="I567" s="13">
        <f t="shared" si="352"/>
        <v>0.89400357935632169</v>
      </c>
      <c r="J567" s="13">
        <f t="shared" si="352"/>
        <v>0.89419359101884222</v>
      </c>
      <c r="K567" s="13">
        <f t="shared" si="352"/>
        <v>0.8942297246892692</v>
      </c>
    </row>
    <row r="568" spans="2:11" x14ac:dyDescent="0.35">
      <c r="B568" s="5" t="str">
        <f t="shared" si="350"/>
        <v>SPS4</v>
      </c>
      <c r="C568" s="5" t="s">
        <v>7</v>
      </c>
      <c r="D568" t="s">
        <v>289</v>
      </c>
      <c r="E568" s="5" t="s">
        <v>240</v>
      </c>
      <c r="F568" s="13">
        <f t="shared" si="352"/>
        <v>0.89235242168325923</v>
      </c>
      <c r="G568" s="13">
        <f t="shared" si="352"/>
        <v>0.89465394770343398</v>
      </c>
      <c r="H568" s="13">
        <f t="shared" si="352"/>
        <v>0.90294772535642009</v>
      </c>
      <c r="I568" s="13">
        <f t="shared" si="352"/>
        <v>0.90426217266255748</v>
      </c>
      <c r="J568" s="13">
        <f t="shared" si="352"/>
        <v>0.90426592719999888</v>
      </c>
      <c r="K568" s="13">
        <f t="shared" si="352"/>
        <v>0.90426658233538171</v>
      </c>
    </row>
    <row r="569" spans="2:11" x14ac:dyDescent="0.35">
      <c r="B569" s="5" t="str">
        <f t="shared" si="350"/>
        <v>SPS4</v>
      </c>
      <c r="C569" s="5" t="s">
        <v>7</v>
      </c>
      <c r="D569" t="s">
        <v>1855</v>
      </c>
      <c r="E569" s="5" t="s">
        <v>240</v>
      </c>
      <c r="F569" s="13">
        <f t="shared" si="352"/>
        <v>0.89235294610234805</v>
      </c>
      <c r="G569" s="13">
        <f t="shared" si="352"/>
        <v>0.89472786577038776</v>
      </c>
      <c r="H569" s="13">
        <f t="shared" si="352"/>
        <v>0.90318379952767458</v>
      </c>
      <c r="I569" s="13">
        <f t="shared" si="352"/>
        <v>0.90419240937897916</v>
      </c>
      <c r="J569" s="13">
        <f t="shared" si="352"/>
        <v>0.90421303673642606</v>
      </c>
      <c r="K569" s="13">
        <f t="shared" si="352"/>
        <v>0.90416597706699187</v>
      </c>
    </row>
    <row r="570" spans="2:11" x14ac:dyDescent="0.35">
      <c r="B570" s="5" t="str">
        <f t="shared" si="350"/>
        <v>SPS4</v>
      </c>
      <c r="C570" s="5" t="s">
        <v>7</v>
      </c>
      <c r="D570" t="s">
        <v>290</v>
      </c>
      <c r="E570" s="5" t="s">
        <v>240</v>
      </c>
      <c r="F570" s="13">
        <f t="shared" si="352"/>
        <v>0.89235004024071962</v>
      </c>
      <c r="G570" s="13">
        <f t="shared" si="352"/>
        <v>0.89472545205401577</v>
      </c>
      <c r="H570" s="13">
        <f t="shared" si="352"/>
        <v>0.90378968131189907</v>
      </c>
      <c r="I570" s="13">
        <f t="shared" si="352"/>
        <v>0.90420762679374511</v>
      </c>
      <c r="J570" s="13">
        <f t="shared" si="352"/>
        <v>0.90422010941203779</v>
      </c>
      <c r="K570" s="13">
        <f t="shared" si="352"/>
        <v>0.9041659696501082</v>
      </c>
    </row>
    <row r="571" spans="2:11" x14ac:dyDescent="0.35">
      <c r="B571" s="5" t="str">
        <f t="shared" si="350"/>
        <v>SPS4</v>
      </c>
      <c r="C571" s="5" t="s">
        <v>7</v>
      </c>
      <c r="D571" t="s">
        <v>291</v>
      </c>
      <c r="E571" s="5" t="s">
        <v>240</v>
      </c>
      <c r="F571" s="13">
        <f t="shared" si="352"/>
        <v>0.89240019124969183</v>
      </c>
      <c r="G571" s="13">
        <f t="shared" si="352"/>
        <v>0.89476704479893454</v>
      </c>
      <c r="H571" s="13">
        <f t="shared" si="352"/>
        <v>0.90364502011113246</v>
      </c>
      <c r="I571" s="13">
        <f t="shared" si="352"/>
        <v>0.90421510707221631</v>
      </c>
      <c r="J571" s="13">
        <f t="shared" si="352"/>
        <v>0.90423223809045561</v>
      </c>
      <c r="K571" s="13">
        <f t="shared" si="352"/>
        <v>0.90419042422645968</v>
      </c>
    </row>
    <row r="572" spans="2:11" x14ac:dyDescent="0.35">
      <c r="B572" s="9" t="str">
        <f t="shared" si="350"/>
        <v>SPS4</v>
      </c>
      <c r="C572" s="9" t="s">
        <v>7</v>
      </c>
      <c r="D572" s="2" t="s">
        <v>296</v>
      </c>
      <c r="E572" s="5" t="s">
        <v>240</v>
      </c>
      <c r="F572" t="s">
        <v>292</v>
      </c>
      <c r="G572" t="s">
        <v>292</v>
      </c>
      <c r="H572" t="s">
        <v>292</v>
      </c>
      <c r="I572" t="s">
        <v>292</v>
      </c>
      <c r="J572" t="s">
        <v>292</v>
      </c>
      <c r="K572" t="s">
        <v>292</v>
      </c>
    </row>
    <row r="573" spans="2:11" x14ac:dyDescent="0.35">
      <c r="B573" s="5" t="str">
        <f t="shared" si="350"/>
        <v>SPS4</v>
      </c>
      <c r="C573" s="5" t="s">
        <v>7</v>
      </c>
      <c r="D573" t="s">
        <v>297</v>
      </c>
      <c r="E573" s="5" t="s">
        <v>240</v>
      </c>
      <c r="F573" s="4">
        <f>IFERROR(F210/F440,"-")</f>
        <v>0.59933707253668433</v>
      </c>
      <c r="G573" s="4">
        <f t="shared" ref="G573:K573" si="353">IFERROR(G210/G440,"-")</f>
        <v>0.65333359723451323</v>
      </c>
      <c r="H573" s="4">
        <f t="shared" si="353"/>
        <v>0.53075519942599014</v>
      </c>
      <c r="I573" s="4">
        <f t="shared" si="353"/>
        <v>0.66621023361091958</v>
      </c>
      <c r="J573" s="4">
        <f t="shared" si="353"/>
        <v>0.65349689210788175</v>
      </c>
      <c r="K573" s="4">
        <f t="shared" si="353"/>
        <v>0.3827568615023994</v>
      </c>
    </row>
    <row r="574" spans="2:11" x14ac:dyDescent="0.35">
      <c r="B574" s="5" t="str">
        <f t="shared" si="350"/>
        <v>SPS4</v>
      </c>
      <c r="C574" s="5" t="s">
        <v>7</v>
      </c>
      <c r="D574" t="s">
        <v>298</v>
      </c>
      <c r="E574" s="5" t="s">
        <v>240</v>
      </c>
      <c r="F574" s="4">
        <f>IFERROR(F216/F446,"-")</f>
        <v>1</v>
      </c>
      <c r="G574" s="4">
        <f t="shared" ref="G574:K574" si="354">IFERROR(G216/G446,"-")</f>
        <v>1</v>
      </c>
      <c r="H574" s="4">
        <f t="shared" si="354"/>
        <v>1</v>
      </c>
      <c r="I574" s="4">
        <f t="shared" si="354"/>
        <v>1</v>
      </c>
      <c r="J574" s="4" t="str">
        <f t="shared" si="354"/>
        <v>-</v>
      </c>
      <c r="K574" s="4" t="str">
        <f t="shared" si="354"/>
        <v>-</v>
      </c>
    </row>
    <row r="575" spans="2:11" x14ac:dyDescent="0.35">
      <c r="B575" s="5" t="str">
        <f t="shared" si="350"/>
        <v>SPS4</v>
      </c>
      <c r="C575" s="5" t="s">
        <v>7</v>
      </c>
      <c r="D575" t="s">
        <v>299</v>
      </c>
      <c r="E575" s="5" t="s">
        <v>240</v>
      </c>
      <c r="F575" s="4">
        <f>IFERROR(F218/F448,"-")</f>
        <v>0.8544550111113256</v>
      </c>
      <c r="G575" s="4">
        <f t="shared" ref="G575:K575" si="355">IFERROR(G218/G448,"-")</f>
        <v>0.85445501111132482</v>
      </c>
      <c r="H575" s="4">
        <f t="shared" si="355"/>
        <v>0.85445501111132549</v>
      </c>
      <c r="I575" s="4">
        <f t="shared" si="355"/>
        <v>0.85445501111132449</v>
      </c>
      <c r="J575" s="4">
        <f t="shared" si="355"/>
        <v>0.85445501111132438</v>
      </c>
      <c r="K575" s="4">
        <f t="shared" si="355"/>
        <v>0.85445501111132527</v>
      </c>
    </row>
    <row r="576" spans="2:11" x14ac:dyDescent="0.35">
      <c r="B576" s="5" t="str">
        <f t="shared" si="350"/>
        <v>SPS4</v>
      </c>
      <c r="C576" s="5" t="s">
        <v>7</v>
      </c>
      <c r="D576" t="s">
        <v>300</v>
      </c>
      <c r="E576" s="5" t="s">
        <v>240</v>
      </c>
      <c r="F576" s="4">
        <f>IFERROR(F224/F454,"-")</f>
        <v>0.69999999999999962</v>
      </c>
      <c r="G576" s="4">
        <f t="shared" ref="G576:K576" si="356">IFERROR(G224/G454,"-")</f>
        <v>0.70000000000000073</v>
      </c>
      <c r="H576" s="4">
        <f t="shared" si="356"/>
        <v>0.70000000000000018</v>
      </c>
      <c r="I576" s="4">
        <f t="shared" si="356"/>
        <v>0.69999999999999951</v>
      </c>
      <c r="J576" s="4">
        <f t="shared" si="356"/>
        <v>0.69999999999999984</v>
      </c>
      <c r="K576" s="4">
        <f t="shared" si="356"/>
        <v>0.69999999999999918</v>
      </c>
    </row>
    <row r="577" spans="2:11" x14ac:dyDescent="0.35">
      <c r="B577" s="5" t="str">
        <f t="shared" si="350"/>
        <v>SPS4</v>
      </c>
      <c r="C577" s="5" t="s">
        <v>7</v>
      </c>
      <c r="D577" t="s">
        <v>301</v>
      </c>
      <c r="E577" s="5" t="s">
        <v>240</v>
      </c>
      <c r="F577" t="str">
        <f>IFERROR(F226/F456,"-")</f>
        <v>-</v>
      </c>
      <c r="G577" t="str">
        <f t="shared" ref="G577:K577" si="357">IFERROR(G226/G456,"-")</f>
        <v>-</v>
      </c>
      <c r="H577" t="str">
        <f t="shared" si="357"/>
        <v>-</v>
      </c>
      <c r="I577">
        <f t="shared" si="357"/>
        <v>0.49999999999999983</v>
      </c>
      <c r="J577">
        <f t="shared" si="357"/>
        <v>0.50000000000000022</v>
      </c>
      <c r="K577">
        <f t="shared" si="357"/>
        <v>0.50000000000000033</v>
      </c>
    </row>
    <row r="578" spans="2:11" x14ac:dyDescent="0.35">
      <c r="B578" s="5" t="str">
        <f t="shared" si="350"/>
        <v>SPS4</v>
      </c>
      <c r="C578" s="5" t="s">
        <v>7</v>
      </c>
      <c r="D578" t="s">
        <v>302</v>
      </c>
      <c r="E578" s="5" t="s">
        <v>240</v>
      </c>
      <c r="F578" t="str">
        <f>IFERROR(F228/F458,"-")</f>
        <v>-</v>
      </c>
      <c r="G578" t="str">
        <f t="shared" ref="G578:K578" si="358">IFERROR(G228/G458,"-")</f>
        <v>-</v>
      </c>
      <c r="H578" t="str">
        <f t="shared" si="358"/>
        <v>-</v>
      </c>
      <c r="I578" t="str">
        <f t="shared" si="358"/>
        <v>-</v>
      </c>
      <c r="J578">
        <f t="shared" si="358"/>
        <v>0.84999999999999953</v>
      </c>
      <c r="K578">
        <f t="shared" si="358"/>
        <v>0.84999999999999942</v>
      </c>
    </row>
    <row r="579" spans="2:11" x14ac:dyDescent="0.35">
      <c r="B579" s="5" t="str">
        <f t="shared" si="350"/>
        <v>SPS4</v>
      </c>
      <c r="C579" s="5" t="s">
        <v>7</v>
      </c>
      <c r="D579" t="s">
        <v>720</v>
      </c>
      <c r="E579" s="5" t="s">
        <v>240</v>
      </c>
      <c r="F579" s="4" t="str">
        <f>IFERROR(F230/F460,"-")</f>
        <v>-</v>
      </c>
      <c r="G579" s="4">
        <f t="shared" ref="G579:K579" si="359">IFERROR(G230/G460,"-")</f>
        <v>3</v>
      </c>
      <c r="H579" s="4">
        <f t="shared" si="359"/>
        <v>2.9999999999999991</v>
      </c>
      <c r="I579" s="4">
        <f t="shared" si="359"/>
        <v>3.0000000000000013</v>
      </c>
      <c r="J579" s="4">
        <f t="shared" si="359"/>
        <v>3.0000000000000009</v>
      </c>
      <c r="K579" s="4">
        <f t="shared" si="359"/>
        <v>2.9999999999999991</v>
      </c>
    </row>
    <row r="580" spans="2:11" x14ac:dyDescent="0.35">
      <c r="B580" s="9" t="str">
        <f t="shared" si="350"/>
        <v>SPS4</v>
      </c>
      <c r="C580" s="9" t="s">
        <v>7</v>
      </c>
      <c r="D580" s="2" t="s">
        <v>303</v>
      </c>
      <c r="E580" s="9" t="s">
        <v>8</v>
      </c>
      <c r="F580" s="3">
        <f>[1]Other_transformation!B$5</f>
        <v>0.66841305727648392</v>
      </c>
      <c r="G580" s="3">
        <f>[1]Other_transformation!C$5</f>
        <v>0.63726387165427201</v>
      </c>
      <c r="H580" s="3">
        <f>[1]Other_transformation!D$5</f>
        <v>1.2035553105154455</v>
      </c>
      <c r="I580" s="3">
        <f>[1]Other_transformation!E$5</f>
        <v>1.4164020332192349E-4</v>
      </c>
      <c r="J580" s="3">
        <f>[1]Other_transformation!F$5</f>
        <v>1.1151214803555921E-4</v>
      </c>
      <c r="K580" s="3">
        <f>[1]Other_transformation!G$5</f>
        <v>7.1162114393426095E-5</v>
      </c>
    </row>
    <row r="581" spans="2:11" x14ac:dyDescent="0.35">
      <c r="B581" s="5" t="str">
        <f t="shared" si="350"/>
        <v>SPS4</v>
      </c>
      <c r="C581" s="5" t="s">
        <v>7</v>
      </c>
      <c r="D581" t="s">
        <v>903</v>
      </c>
      <c r="E581" s="5" t="s">
        <v>8</v>
      </c>
      <c r="F581" s="1">
        <f>F580</f>
        <v>0.66841305727648392</v>
      </c>
      <c r="G581" s="1">
        <f t="shared" ref="G581:K581" si="360">G580</f>
        <v>0.63726387165427201</v>
      </c>
      <c r="H581" s="1">
        <f t="shared" si="360"/>
        <v>1.2035553105154455</v>
      </c>
      <c r="I581" s="1">
        <f t="shared" si="360"/>
        <v>1.4164020332192349E-4</v>
      </c>
      <c r="J581" s="1">
        <f t="shared" si="360"/>
        <v>1.1151214803555921E-4</v>
      </c>
      <c r="K581" s="1">
        <f t="shared" si="360"/>
        <v>7.1162114393426095E-5</v>
      </c>
    </row>
    <row r="582" spans="2:11" x14ac:dyDescent="0.35">
      <c r="B582" s="5" t="str">
        <f t="shared" si="350"/>
        <v>SPS4</v>
      </c>
      <c r="C582" s="5" t="s">
        <v>7</v>
      </c>
      <c r="D582" t="s">
        <v>304</v>
      </c>
      <c r="E582" s="5" t="s">
        <v>8</v>
      </c>
      <c r="F582" s="1" cm="1">
        <f t="array" ref="F582">SUMPRODUCT(("CT_CWODBDS"=[1]OUT_SyntheticFuels!$C$4:$C$1000)*1,("BDS"=[1]OUT_SyntheticFuels!$A$4:$A$1000)*1,("Var_Fout"=[1]OUT_SyntheticFuels!$B$4:$B$1000)*1,[1]OUT_SyntheticFuels!E$4:E$1000)</f>
        <v>0.66841305727648392</v>
      </c>
      <c r="G582" s="1" cm="1">
        <f t="array" ref="G582">SUMPRODUCT(("CT_CWODBDS"=[1]OUT_SyntheticFuels!$C$4:$C$1000)*1,("BDS"=[1]OUT_SyntheticFuels!$A$4:$A$1000)*1,("Var_Fout"=[1]OUT_SyntheticFuels!$B$4:$B$1000)*1,[1]OUT_SyntheticFuels!F$4:F$1000)</f>
        <v>0.63726387165427201</v>
      </c>
      <c r="H582" s="1" cm="1">
        <f t="array" ref="H582">SUMPRODUCT(("CT_CWODBDS"=[1]OUT_SyntheticFuels!$C$4:$C$1000)*1,("BDS"=[1]OUT_SyntheticFuels!$A$4:$A$1000)*1,("Var_Fout"=[1]OUT_SyntheticFuels!$B$4:$B$1000)*1,[1]OUT_SyntheticFuels!G$4:G$1000)</f>
        <v>1.2035553105154455</v>
      </c>
      <c r="I582" s="1" cm="1">
        <f t="array" ref="I582">SUMPRODUCT(("CT_CWODBDS"=[1]OUT_SyntheticFuels!$C$4:$C$1000)*1,("BDS"=[1]OUT_SyntheticFuels!$A$4:$A$1000)*1,("Var_Fout"=[1]OUT_SyntheticFuels!$B$4:$B$1000)*1,[1]OUT_SyntheticFuels!H$4:H$1000)</f>
        <v>1.4164020332192349E-4</v>
      </c>
      <c r="J582" s="1" cm="1">
        <f t="array" ref="J582">SUMPRODUCT(("CT_CWODBDS"=[1]OUT_SyntheticFuels!$C$4:$C$1000)*1,("BDS"=[1]OUT_SyntheticFuels!$A$4:$A$1000)*1,("Var_Fout"=[1]OUT_SyntheticFuels!$B$4:$B$1000)*1,[1]OUT_SyntheticFuels!I$4:I$1000)</f>
        <v>1.1151214803555921E-4</v>
      </c>
      <c r="K582" s="1" cm="1">
        <f t="array" ref="K582">SUMPRODUCT(("CT_CWODBDS"=[1]OUT_SyntheticFuels!$C$4:$C$1000)*1,("BDS"=[1]OUT_SyntheticFuels!$A$4:$A$1000)*1,("Var_Fout"=[1]OUT_SyntheticFuels!$B$4:$B$1000)*1,[1]OUT_SyntheticFuels!J$4:J$1000)</f>
        <v>7.1162114393426095E-5</v>
      </c>
    </row>
    <row r="583" spans="2:11" x14ac:dyDescent="0.35">
      <c r="B583" s="5" t="str">
        <f t="shared" si="350"/>
        <v>SPS4</v>
      </c>
      <c r="C583" s="5" t="s">
        <v>7</v>
      </c>
      <c r="D583" t="s">
        <v>305</v>
      </c>
      <c r="E583" s="5" t="s">
        <v>8</v>
      </c>
      <c r="F583" s="1" cm="1">
        <f t="array" ref="F583">SUMPRODUCT(("CT_CWODBDSCCS"=[1]OUT_SyntheticFuels!$C$4:$C$1000)*1,("BDS"=[1]OUT_SyntheticFuels!$A$4:$A$1000)*1,("Var_Fout"=[1]OUT_SyntheticFuels!$B$4:$B$1000)*1,[1]OUT_SyntheticFuels!E$4:E$1000)</f>
        <v>0</v>
      </c>
      <c r="G583" s="1" cm="1">
        <f t="array" ref="G583">SUMPRODUCT(("CT_CWODBDSCCS"=[1]OUT_SyntheticFuels!$C$4:$C$1000)*1,("BDS"=[1]OUT_SyntheticFuels!$A$4:$A$1000)*1,("Var_Fout"=[1]OUT_SyntheticFuels!$B$4:$B$1000)*1,[1]OUT_SyntheticFuels!F$4:F$1000)</f>
        <v>0</v>
      </c>
      <c r="H583" s="1" cm="1">
        <f t="array" ref="H583">SUMPRODUCT(("CT_CWODBDSCCS"=[1]OUT_SyntheticFuels!$C$4:$C$1000)*1,("BDS"=[1]OUT_SyntheticFuels!$A$4:$A$1000)*1,("Var_Fout"=[1]OUT_SyntheticFuels!$B$4:$B$1000)*1,[1]OUT_SyntheticFuels!G$4:G$1000)</f>
        <v>0</v>
      </c>
      <c r="I583" s="1" cm="1">
        <f t="array" ref="I583">SUMPRODUCT(("CT_CWODBDSCCS"=[1]OUT_SyntheticFuels!$C$4:$C$1000)*1,("BDS"=[1]OUT_SyntheticFuels!$A$4:$A$1000)*1,("Var_Fout"=[1]OUT_SyntheticFuels!$B$4:$B$1000)*1,[1]OUT_SyntheticFuels!H$4:H$1000)</f>
        <v>0</v>
      </c>
      <c r="J583" s="1" cm="1">
        <f t="array" ref="J583">SUMPRODUCT(("CT_CWODBDSCCS"=[1]OUT_SyntheticFuels!$C$4:$C$1000)*1,("BDS"=[1]OUT_SyntheticFuels!$A$4:$A$1000)*1,("Var_Fout"=[1]OUT_SyntheticFuels!$B$4:$B$1000)*1,[1]OUT_SyntheticFuels!I$4:I$1000)</f>
        <v>0</v>
      </c>
      <c r="K583" s="1" cm="1">
        <f t="array" ref="K583">SUMPRODUCT(("CT_CWODBDSCCS"=[1]OUT_SyntheticFuels!$C$4:$C$1000)*1,("BDS"=[1]OUT_SyntheticFuels!$A$4:$A$1000)*1,("Var_Fout"=[1]OUT_SyntheticFuels!$B$4:$B$1000)*1,[1]OUT_SyntheticFuels!J$4:J$1000)</f>
        <v>0</v>
      </c>
    </row>
    <row r="584" spans="2:11" x14ac:dyDescent="0.35">
      <c r="B584" s="9" t="str">
        <f t="shared" si="350"/>
        <v>SPS4</v>
      </c>
      <c r="C584" s="9" t="s">
        <v>7</v>
      </c>
      <c r="D584" s="2" t="s">
        <v>370</v>
      </c>
      <c r="E584" s="9" t="s">
        <v>8</v>
      </c>
      <c r="F584" s="3">
        <f>F585</f>
        <v>0.26068109233782877</v>
      </c>
      <c r="G584" s="3">
        <f t="shared" ref="G584:K584" si="361">G585</f>
        <v>0.248532909945166</v>
      </c>
      <c r="H584" s="3">
        <f t="shared" si="361"/>
        <v>0.46938657110102389</v>
      </c>
      <c r="I584" s="3">
        <f t="shared" si="361"/>
        <v>5.5239679295550071E-5</v>
      </c>
      <c r="J584" s="3">
        <f t="shared" si="361"/>
        <v>4.3489737733867983E-5</v>
      </c>
      <c r="K584" s="3">
        <f t="shared" si="361"/>
        <v>2.7753224613436137E-5</v>
      </c>
    </row>
    <row r="585" spans="2:11" x14ac:dyDescent="0.35">
      <c r="B585" s="5" t="str">
        <f t="shared" si="350"/>
        <v>SPS4</v>
      </c>
      <c r="C585" s="5" t="s">
        <v>7</v>
      </c>
      <c r="D585" t="s">
        <v>904</v>
      </c>
      <c r="E585" s="5" t="s">
        <v>8</v>
      </c>
      <c r="F585" s="1">
        <f>SUM(F586:F587)</f>
        <v>0.26068109233782877</v>
      </c>
      <c r="G585" s="1">
        <f t="shared" ref="G585:K585" si="362">SUM(G586:G587)</f>
        <v>0.248532909945166</v>
      </c>
      <c r="H585" s="1">
        <f t="shared" si="362"/>
        <v>0.46938657110102389</v>
      </c>
      <c r="I585" s="1">
        <f t="shared" si="362"/>
        <v>5.5239679295550071E-5</v>
      </c>
      <c r="J585" s="1">
        <f t="shared" si="362"/>
        <v>4.3489737733867983E-5</v>
      </c>
      <c r="K585" s="1">
        <f t="shared" si="362"/>
        <v>2.7753224613436137E-5</v>
      </c>
    </row>
    <row r="586" spans="2:11" x14ac:dyDescent="0.35">
      <c r="B586" s="5" t="str">
        <f t="shared" si="350"/>
        <v>SPS4</v>
      </c>
      <c r="C586" s="5" t="s">
        <v>7</v>
      </c>
      <c r="D586" t="s">
        <v>307</v>
      </c>
      <c r="E586" s="5" t="s">
        <v>8</v>
      </c>
      <c r="F586" s="1" cm="1">
        <f t="array" ref="F586">SUMPRODUCT(("CT_CWODBDS"=[1]OUT_SyntheticFuels!$C$4:$C$1000)*1,("LTH"=[1]OUT_SyntheticFuels!$A$4:$A$1000)*1,("Var_Fout"=[1]OUT_SyntheticFuels!$B$4:$B$1000)*1,[1]OUT_SyntheticFuels!E$4:E$1000)</f>
        <v>0.26068109233782877</v>
      </c>
      <c r="G586" s="1" cm="1">
        <f t="array" ref="G586">SUMPRODUCT(("CT_CWODBDS"=[1]OUT_SyntheticFuels!$C$4:$C$1000)*1,("LTH"=[1]OUT_SyntheticFuels!$A$4:$A$1000)*1,("Var_Fout"=[1]OUT_SyntheticFuels!$B$4:$B$1000)*1,[1]OUT_SyntheticFuels!F$4:F$1000)</f>
        <v>0.248532909945166</v>
      </c>
      <c r="H586" s="1" cm="1">
        <f t="array" ref="H586">SUMPRODUCT(("CT_CWODBDS"=[1]OUT_SyntheticFuels!$C$4:$C$1000)*1,("LTH"=[1]OUT_SyntheticFuels!$A$4:$A$1000)*1,("Var_Fout"=[1]OUT_SyntheticFuels!$B$4:$B$1000)*1,[1]OUT_SyntheticFuels!G$4:G$1000)</f>
        <v>0.46938657110102389</v>
      </c>
      <c r="I586" s="1" cm="1">
        <f t="array" ref="I586">SUMPRODUCT(("CT_CWODBDS"=[1]OUT_SyntheticFuels!$C$4:$C$1000)*1,("LTH"=[1]OUT_SyntheticFuels!$A$4:$A$1000)*1,("Var_Fout"=[1]OUT_SyntheticFuels!$B$4:$B$1000)*1,[1]OUT_SyntheticFuels!H$4:H$1000)</f>
        <v>5.5239679295550071E-5</v>
      </c>
      <c r="J586" s="1" cm="1">
        <f t="array" ref="J586">SUMPRODUCT(("CT_CWODBDS"=[1]OUT_SyntheticFuels!$C$4:$C$1000)*1,("LTH"=[1]OUT_SyntheticFuels!$A$4:$A$1000)*1,("Var_Fout"=[1]OUT_SyntheticFuels!$B$4:$B$1000)*1,[1]OUT_SyntheticFuels!I$4:I$1000)</f>
        <v>4.3489737733867983E-5</v>
      </c>
      <c r="K586" s="1" cm="1">
        <f t="array" ref="K586">SUMPRODUCT(("CT_CWODBDS"=[1]OUT_SyntheticFuels!$C$4:$C$1000)*1,("LTH"=[1]OUT_SyntheticFuels!$A$4:$A$1000)*1,("Var_Fout"=[1]OUT_SyntheticFuels!$B$4:$B$1000)*1,[1]OUT_SyntheticFuels!J$4:J$1000)</f>
        <v>2.7753224613436137E-5</v>
      </c>
    </row>
    <row r="587" spans="2:11" x14ac:dyDescent="0.35">
      <c r="B587" s="5" t="str">
        <f t="shared" si="350"/>
        <v>SPS4</v>
      </c>
      <c r="C587" s="5" t="s">
        <v>7</v>
      </c>
      <c r="D587" t="s">
        <v>308</v>
      </c>
      <c r="E587" s="5" t="s">
        <v>8</v>
      </c>
      <c r="F587" s="1" cm="1">
        <f t="array" ref="F587">SUMPRODUCT(("CT_CWODBDSCCS"=[1]OUT_SyntheticFuels!$C$4:$C$1000)*1,("LTH"=[1]OUT_SyntheticFuels!$A$4:$A$1000)*1,("Var_Fout"=[1]OUT_SyntheticFuels!$B$4:$B$1000)*1,[1]OUT_SyntheticFuels!E$4:E$1000)</f>
        <v>0</v>
      </c>
      <c r="G587" s="1" cm="1">
        <f t="array" ref="G587">SUMPRODUCT(("CT_CWODBDSCCS"=[1]OUT_SyntheticFuels!$C$4:$C$1000)*1,("LTH"=[1]OUT_SyntheticFuels!$A$4:$A$1000)*1,("Var_Fout"=[1]OUT_SyntheticFuels!$B$4:$B$1000)*1,[1]OUT_SyntheticFuels!F$4:F$1000)</f>
        <v>0</v>
      </c>
      <c r="H587" s="1" cm="1">
        <f t="array" ref="H587">SUMPRODUCT(("CT_CWODBDSCCS"=[1]OUT_SyntheticFuels!$C$4:$C$1000)*1,("LTH"=[1]OUT_SyntheticFuels!$A$4:$A$1000)*1,("Var_Fout"=[1]OUT_SyntheticFuels!$B$4:$B$1000)*1,[1]OUT_SyntheticFuels!G$4:G$1000)</f>
        <v>0</v>
      </c>
      <c r="I587" s="1" cm="1">
        <f t="array" ref="I587">SUMPRODUCT(("CT_CWODBDSCCS"=[1]OUT_SyntheticFuels!$C$4:$C$1000)*1,("LTH"=[1]OUT_SyntheticFuels!$A$4:$A$1000)*1,("Var_Fout"=[1]OUT_SyntheticFuels!$B$4:$B$1000)*1,[1]OUT_SyntheticFuels!H$4:H$1000)</f>
        <v>0</v>
      </c>
      <c r="J587" s="1" cm="1">
        <f t="array" ref="J587">SUMPRODUCT(("CT_CWODBDSCCS"=[1]OUT_SyntheticFuels!$C$4:$C$1000)*1,("LTH"=[1]OUT_SyntheticFuels!$A$4:$A$1000)*1,("Var_Fout"=[1]OUT_SyntheticFuels!$B$4:$B$1000)*1,[1]OUT_SyntheticFuels!I$4:I$1000)</f>
        <v>0</v>
      </c>
      <c r="K587" s="1" cm="1">
        <f t="array" ref="K587">SUMPRODUCT(("CT_CWODBDSCCS"=[1]OUT_SyntheticFuels!$C$4:$C$1000)*1,("LTH"=[1]OUT_SyntheticFuels!$A$4:$A$1000)*1,("Var_Fout"=[1]OUT_SyntheticFuels!$B$4:$B$1000)*1,[1]OUT_SyntheticFuels!J$4:J$1000)</f>
        <v>0</v>
      </c>
    </row>
    <row r="588" spans="2:11" x14ac:dyDescent="0.35">
      <c r="B588" s="9" t="str">
        <f t="shared" si="350"/>
        <v>SPS4</v>
      </c>
      <c r="C588" s="9" t="s">
        <v>7</v>
      </c>
      <c r="D588" s="2" t="s">
        <v>373</v>
      </c>
      <c r="E588" s="9" t="s">
        <v>8</v>
      </c>
      <c r="F588" s="3">
        <f>F589+F592</f>
        <v>1.9510977141900583</v>
      </c>
      <c r="G588" s="3">
        <f t="shared" ref="G588:K588" si="363">G589+G592</f>
        <v>1.8601732413588188</v>
      </c>
      <c r="H588" s="3">
        <f t="shared" si="363"/>
        <v>3.5131779513945851</v>
      </c>
      <c r="I588" s="3">
        <f t="shared" si="363"/>
        <v>4.1344775349669424E-4</v>
      </c>
      <c r="J588" s="3">
        <f t="shared" si="363"/>
        <v>3.2550396011579719E-4</v>
      </c>
      <c r="K588" s="3">
        <f t="shared" si="363"/>
        <v>2.077222119144105E-4</v>
      </c>
    </row>
    <row r="589" spans="2:11" x14ac:dyDescent="0.35">
      <c r="B589" s="5" t="str">
        <f t="shared" si="350"/>
        <v>SPS4</v>
      </c>
      <c r="C589" s="5" t="s">
        <v>7</v>
      </c>
      <c r="D589" t="s">
        <v>905</v>
      </c>
      <c r="E589" s="5" t="s">
        <v>8</v>
      </c>
      <c r="F589" s="1">
        <f>SUM(F590:F591)</f>
        <v>1.9046430067093427</v>
      </c>
      <c r="G589" s="1">
        <f t="shared" ref="G589:K589" si="364">SUM(G590:G591)</f>
        <v>1.8158834022788468</v>
      </c>
      <c r="H589" s="1">
        <f t="shared" si="364"/>
        <v>3.4295308573137615</v>
      </c>
      <c r="I589" s="1">
        <f t="shared" si="364"/>
        <v>4.0360375936582054E-4</v>
      </c>
      <c r="J589" s="1">
        <f t="shared" si="364"/>
        <v>3.1775386582732584E-4</v>
      </c>
      <c r="K589" s="1">
        <f t="shared" si="364"/>
        <v>2.0277644496406738E-4</v>
      </c>
    </row>
    <row r="590" spans="2:11" x14ac:dyDescent="0.35">
      <c r="B590" s="5" t="str">
        <f t="shared" si="350"/>
        <v>SPS4</v>
      </c>
      <c r="C590" s="5" t="s">
        <v>7</v>
      </c>
      <c r="D590" t="s">
        <v>325</v>
      </c>
      <c r="E590" s="5" t="s">
        <v>8</v>
      </c>
      <c r="F590" s="1" cm="1">
        <f t="array" ref="F590">SUMPRODUCT(("CT_CWODBDS"=[1]OUT_SyntheticFuels!$C$4:$C$1000)*1,("CWOD"=[1]OUT_SyntheticFuels!$A$4:$A$1000)*1,("Var_Fin"=[1]OUT_SyntheticFuels!$B$4:$B$1000)*1,[1]OUT_SyntheticFuels!E$4:E$1000)</f>
        <v>1.9046430067093427</v>
      </c>
      <c r="G590" s="1" cm="1">
        <f t="array" ref="G590">SUMPRODUCT(("CT_CWODBDS"=[1]OUT_SyntheticFuels!$C$4:$C$1000)*1,("CWOD"=[1]OUT_SyntheticFuels!$A$4:$A$1000)*1,("Var_Fin"=[1]OUT_SyntheticFuels!$B$4:$B$1000)*1,[1]OUT_SyntheticFuels!F$4:F$1000)</f>
        <v>1.8158834022788468</v>
      </c>
      <c r="H590" s="1" cm="1">
        <f t="array" ref="H590">SUMPRODUCT(("CT_CWODBDS"=[1]OUT_SyntheticFuels!$C$4:$C$1000)*1,("CWOD"=[1]OUT_SyntheticFuels!$A$4:$A$1000)*1,("Var_Fin"=[1]OUT_SyntheticFuels!$B$4:$B$1000)*1,[1]OUT_SyntheticFuels!G$4:G$1000)</f>
        <v>3.4295308573137615</v>
      </c>
      <c r="I590" s="1" cm="1">
        <f t="array" ref="I590">SUMPRODUCT(("CT_CWODBDS"=[1]OUT_SyntheticFuels!$C$4:$C$1000)*1,("CWOD"=[1]OUT_SyntheticFuels!$A$4:$A$1000)*1,("Var_Fin"=[1]OUT_SyntheticFuels!$B$4:$B$1000)*1,[1]OUT_SyntheticFuels!H$4:H$1000)</f>
        <v>4.0360375936582054E-4</v>
      </c>
      <c r="J590" s="1" cm="1">
        <f t="array" ref="J590">SUMPRODUCT(("CT_CWODBDS"=[1]OUT_SyntheticFuels!$C$4:$C$1000)*1,("CWOD"=[1]OUT_SyntheticFuels!$A$4:$A$1000)*1,("Var_Fin"=[1]OUT_SyntheticFuels!$B$4:$B$1000)*1,[1]OUT_SyntheticFuels!I$4:I$1000)</f>
        <v>3.1775386582732584E-4</v>
      </c>
      <c r="K590" s="1" cm="1">
        <f t="array" ref="K590">SUMPRODUCT(("CT_CWODBDS"=[1]OUT_SyntheticFuels!$C$4:$C$1000)*1,("CWOD"=[1]OUT_SyntheticFuels!$A$4:$A$1000)*1,("Var_Fin"=[1]OUT_SyntheticFuels!$B$4:$B$1000)*1,[1]OUT_SyntheticFuels!J$4:J$1000)</f>
        <v>2.0277644496406738E-4</v>
      </c>
    </row>
    <row r="591" spans="2:11" x14ac:dyDescent="0.35">
      <c r="B591" s="5" t="str">
        <f t="shared" si="350"/>
        <v>SPS4</v>
      </c>
      <c r="C591" s="5" t="s">
        <v>7</v>
      </c>
      <c r="D591" t="s">
        <v>326</v>
      </c>
      <c r="E591" s="5" t="s">
        <v>8</v>
      </c>
      <c r="F591" s="1" cm="1">
        <f t="array" ref="F591">SUMPRODUCT(("CT_CWODBDSCCS"=[1]OUT_SyntheticFuels!$C$4:$C$1000)*1,("CWOD"=[1]OUT_SyntheticFuels!$A$4:$A$1000)*1,("Var_Fin"=[1]OUT_SyntheticFuels!$B$4:$B$1000)*1,[1]OUT_SyntheticFuels!E$4:E$1000)</f>
        <v>0</v>
      </c>
      <c r="G591" s="1" cm="1">
        <f t="array" ref="G591">SUMPRODUCT(("CT_CWODBDSCCS"=[1]OUT_SyntheticFuels!$C$4:$C$1000)*1,("CWOD"=[1]OUT_SyntheticFuels!$A$4:$A$1000)*1,("Var_Fin"=[1]OUT_SyntheticFuels!$B$4:$B$1000)*1,[1]OUT_SyntheticFuels!F$4:F$1000)</f>
        <v>0</v>
      </c>
      <c r="H591" s="1" cm="1">
        <f t="array" ref="H591">SUMPRODUCT(("CT_CWODBDSCCS"=[1]OUT_SyntheticFuels!$C$4:$C$1000)*1,("CWOD"=[1]OUT_SyntheticFuels!$A$4:$A$1000)*1,("Var_Fin"=[1]OUT_SyntheticFuels!$B$4:$B$1000)*1,[1]OUT_SyntheticFuels!G$4:G$1000)</f>
        <v>0</v>
      </c>
      <c r="I591" s="1" cm="1">
        <f t="array" ref="I591">SUMPRODUCT(("CT_CWODBDSCCS"=[1]OUT_SyntheticFuels!$C$4:$C$1000)*1,("CWOD"=[1]OUT_SyntheticFuels!$A$4:$A$1000)*1,("Var_Fin"=[1]OUT_SyntheticFuels!$B$4:$B$1000)*1,[1]OUT_SyntheticFuels!H$4:H$1000)</f>
        <v>0</v>
      </c>
      <c r="J591" s="1" cm="1">
        <f t="array" ref="J591">SUMPRODUCT(("CT_CWODBDSCCS"=[1]OUT_SyntheticFuels!$C$4:$C$1000)*1,("CWOD"=[1]OUT_SyntheticFuels!$A$4:$A$1000)*1,("Var_Fin"=[1]OUT_SyntheticFuels!$B$4:$B$1000)*1,[1]OUT_SyntheticFuels!I$4:I$1000)</f>
        <v>0</v>
      </c>
      <c r="K591" s="1" cm="1">
        <f t="array" ref="K591">SUMPRODUCT(("CT_CWODBDSCCS"=[1]OUT_SyntheticFuels!$C$4:$C$1000)*1,("CWOD"=[1]OUT_SyntheticFuels!$A$4:$A$1000)*1,("Var_Fin"=[1]OUT_SyntheticFuels!$B$4:$B$1000)*1,[1]OUT_SyntheticFuels!J$4:J$1000)</f>
        <v>0</v>
      </c>
    </row>
    <row r="592" spans="2:11" x14ac:dyDescent="0.35">
      <c r="B592" s="5" t="str">
        <f t="shared" si="350"/>
        <v>SPS4</v>
      </c>
      <c r="C592" s="5" t="s">
        <v>7</v>
      </c>
      <c r="D592" t="s">
        <v>906</v>
      </c>
      <c r="E592" s="5" t="s">
        <v>8</v>
      </c>
      <c r="F592" s="1">
        <f>SUM(F593:F594)</f>
        <v>4.6454707480715646E-2</v>
      </c>
      <c r="G592" s="1">
        <f t="shared" ref="G592:K592" si="365">SUM(G593:G594)</f>
        <v>4.4289839079971915E-2</v>
      </c>
      <c r="H592" s="1">
        <f t="shared" si="365"/>
        <v>8.3647094080823464E-2</v>
      </c>
      <c r="I592" s="1">
        <f t="shared" si="365"/>
        <v>9.8439941308736829E-6</v>
      </c>
      <c r="J592" s="1">
        <f t="shared" si="365"/>
        <v>7.7500942884713638E-6</v>
      </c>
      <c r="K592" s="1">
        <f t="shared" si="365"/>
        <v>4.9457669503431126E-6</v>
      </c>
    </row>
    <row r="593" spans="2:11" x14ac:dyDescent="0.35">
      <c r="B593" s="5" t="str">
        <f t="shared" si="350"/>
        <v>SPS4</v>
      </c>
      <c r="C593" s="5" t="s">
        <v>7</v>
      </c>
      <c r="D593" t="s">
        <v>327</v>
      </c>
      <c r="E593" s="5" t="s">
        <v>8</v>
      </c>
      <c r="F593" s="1" cm="1">
        <f t="array" ref="F593">SUMPRODUCT(("CT_CWODBDS"=[1]OUT_SyntheticFuels!$C$4:$C$1000)*1,("Celc"=[1]OUT_SyntheticFuels!$A$4:$A$1000)*1,("Var_Fin"=[1]OUT_SyntheticFuels!$B$4:$B$1000)*1,[1]OUT_SyntheticFuels!E$4:E$1000)</f>
        <v>4.6454707480715646E-2</v>
      </c>
      <c r="G593" s="1" cm="1">
        <f t="array" ref="G593">SUMPRODUCT(("CT_CWODBDS"=[1]OUT_SyntheticFuels!$C$4:$C$1000)*1,("Celc"=[1]OUT_SyntheticFuels!$A$4:$A$1000)*1,("Var_Fin"=[1]OUT_SyntheticFuels!$B$4:$B$1000)*1,[1]OUT_SyntheticFuels!F$4:F$1000)</f>
        <v>4.4289839079971915E-2</v>
      </c>
      <c r="H593" s="1" cm="1">
        <f t="array" ref="H593">SUMPRODUCT(("CT_CWODBDS"=[1]OUT_SyntheticFuels!$C$4:$C$1000)*1,("Celc"=[1]OUT_SyntheticFuels!$A$4:$A$1000)*1,("Var_Fin"=[1]OUT_SyntheticFuels!$B$4:$B$1000)*1,[1]OUT_SyntheticFuels!G$4:G$1000)</f>
        <v>8.3647094080823464E-2</v>
      </c>
      <c r="I593" s="1" cm="1">
        <f t="array" ref="I593">SUMPRODUCT(("CT_CWODBDS"=[1]OUT_SyntheticFuels!$C$4:$C$1000)*1,("Celc"=[1]OUT_SyntheticFuels!$A$4:$A$1000)*1,("Var_Fin"=[1]OUT_SyntheticFuels!$B$4:$B$1000)*1,[1]OUT_SyntheticFuels!H$4:H$1000)</f>
        <v>9.8439941308736829E-6</v>
      </c>
      <c r="J593" s="1" cm="1">
        <f t="array" ref="J593">SUMPRODUCT(("CT_CWODBDS"=[1]OUT_SyntheticFuels!$C$4:$C$1000)*1,("Celc"=[1]OUT_SyntheticFuels!$A$4:$A$1000)*1,("Var_Fin"=[1]OUT_SyntheticFuels!$B$4:$B$1000)*1,[1]OUT_SyntheticFuels!I$4:I$1000)</f>
        <v>7.7500942884713638E-6</v>
      </c>
      <c r="K593" s="1" cm="1">
        <f t="array" ref="K593">SUMPRODUCT(("CT_CWODBDS"=[1]OUT_SyntheticFuels!$C$4:$C$1000)*1,("Celc"=[1]OUT_SyntheticFuels!$A$4:$A$1000)*1,("Var_Fin"=[1]OUT_SyntheticFuels!$B$4:$B$1000)*1,[1]OUT_SyntheticFuels!J$4:J$1000)</f>
        <v>4.9457669503431126E-6</v>
      </c>
    </row>
    <row r="594" spans="2:11" x14ac:dyDescent="0.35">
      <c r="B594" s="5" t="str">
        <f t="shared" si="350"/>
        <v>SPS4</v>
      </c>
      <c r="C594" s="5" t="s">
        <v>7</v>
      </c>
      <c r="D594" t="s">
        <v>328</v>
      </c>
      <c r="E594" s="5" t="s">
        <v>8</v>
      </c>
      <c r="F594" s="1" cm="1">
        <f t="array" ref="F594">SUMPRODUCT(("CT_CWODBDSCCS"=[1]OUT_SyntheticFuels!$C$4:$C$1000)*1,("Celc"=[1]OUT_SyntheticFuels!$A$4:$A$1000)*1,("Var_Fin"=[1]OUT_SyntheticFuels!$B$4:$B$1000)*1,[1]OUT_SyntheticFuels!E$4:E$1000)</f>
        <v>0</v>
      </c>
      <c r="G594" s="1" cm="1">
        <f t="array" ref="G594">SUMPRODUCT(("CT_CWODBDSCCS"=[1]OUT_SyntheticFuels!$C$4:$C$1000)*1,("Celc"=[1]OUT_SyntheticFuels!$A$4:$A$1000)*1,("Var_Fin"=[1]OUT_SyntheticFuels!$B$4:$B$1000)*1,[1]OUT_SyntheticFuels!F$4:F$1000)</f>
        <v>0</v>
      </c>
      <c r="H594" s="1" cm="1">
        <f t="array" ref="H594">SUMPRODUCT(("CT_CWODBDSCCS"=[1]OUT_SyntheticFuels!$C$4:$C$1000)*1,("Celc"=[1]OUT_SyntheticFuels!$A$4:$A$1000)*1,("Var_Fin"=[1]OUT_SyntheticFuels!$B$4:$B$1000)*1,[1]OUT_SyntheticFuels!G$4:G$1000)</f>
        <v>0</v>
      </c>
      <c r="I594" s="1" cm="1">
        <f t="array" ref="I594">SUMPRODUCT(("CT_CWODBDSCCS"=[1]OUT_SyntheticFuels!$C$4:$C$1000)*1,("Celc"=[1]OUT_SyntheticFuels!$A$4:$A$1000)*1,("Var_Fin"=[1]OUT_SyntheticFuels!$B$4:$B$1000)*1,[1]OUT_SyntheticFuels!H$4:H$1000)</f>
        <v>0</v>
      </c>
      <c r="J594" s="1" cm="1">
        <f t="array" ref="J594">SUMPRODUCT(("CT_CWODBDSCCS"=[1]OUT_SyntheticFuels!$C$4:$C$1000)*1,("Celc"=[1]OUT_SyntheticFuels!$A$4:$A$1000)*1,("Var_Fin"=[1]OUT_SyntheticFuels!$B$4:$B$1000)*1,[1]OUT_SyntheticFuels!I$4:I$1000)</f>
        <v>0</v>
      </c>
      <c r="K594" s="1" cm="1">
        <f t="array" ref="K594">SUMPRODUCT(("CT_CWODBDSCCS"=[1]OUT_SyntheticFuels!$C$4:$C$1000)*1,("Celc"=[1]OUT_SyntheticFuels!$A$4:$A$1000)*1,("Var_Fin"=[1]OUT_SyntheticFuels!$B$4:$B$1000)*1,[1]OUT_SyntheticFuels!J$4:J$1000)</f>
        <v>0</v>
      </c>
    </row>
    <row r="595" spans="2:11" x14ac:dyDescent="0.35">
      <c r="B595" s="9" t="str">
        <f t="shared" si="350"/>
        <v>SPS4</v>
      </c>
      <c r="C595" s="9" t="s">
        <v>7</v>
      </c>
      <c r="D595" s="2" t="s">
        <v>306</v>
      </c>
      <c r="E595" s="9" t="s">
        <v>240</v>
      </c>
      <c r="F595" t="s">
        <v>292</v>
      </c>
      <c r="G595" t="s">
        <v>292</v>
      </c>
      <c r="H595" t="s">
        <v>292</v>
      </c>
      <c r="I595" t="s">
        <v>292</v>
      </c>
      <c r="J595" t="s">
        <v>292</v>
      </c>
      <c r="K595" t="s">
        <v>292</v>
      </c>
    </row>
    <row r="596" spans="2:11" x14ac:dyDescent="0.35">
      <c r="B596" s="5" t="str">
        <f t="shared" si="350"/>
        <v>SPS4</v>
      </c>
      <c r="C596" s="5" t="s">
        <v>7</v>
      </c>
      <c r="D596" t="s">
        <v>309</v>
      </c>
      <c r="E596" s="5" t="s">
        <v>240</v>
      </c>
      <c r="F596" s="4">
        <f>IFERROR(SUM(F582,F586)/SUM(F590,F593),"-")</f>
        <v>0.47619047619047578</v>
      </c>
      <c r="G596" s="4">
        <f t="shared" ref="G596:K597" si="366">IFERROR(SUM(G582,G586)/SUM(G590,G593),"-")</f>
        <v>0.47619047619047644</v>
      </c>
      <c r="H596" s="4">
        <f t="shared" si="366"/>
        <v>0.47619047619047628</v>
      </c>
      <c r="I596" s="4">
        <f t="shared" si="366"/>
        <v>0.47619047619047644</v>
      </c>
      <c r="J596" s="4">
        <f t="shared" si="366"/>
        <v>0.47619047619047605</v>
      </c>
      <c r="K596" s="4">
        <f t="shared" si="366"/>
        <v>0.47619047619047661</v>
      </c>
    </row>
    <row r="597" spans="2:11" x14ac:dyDescent="0.35">
      <c r="B597" s="5" t="str">
        <f t="shared" si="350"/>
        <v>SPS4</v>
      </c>
      <c r="C597" s="5" t="s">
        <v>7</v>
      </c>
      <c r="D597" t="s">
        <v>310</v>
      </c>
      <c r="E597" s="5" t="s">
        <v>240</v>
      </c>
      <c r="F597" s="4" t="str">
        <f>IFERROR(SUM(F583,F587)/SUM(F591,F594),"-")</f>
        <v>-</v>
      </c>
      <c r="G597" s="4" t="str">
        <f t="shared" si="366"/>
        <v>-</v>
      </c>
      <c r="H597" s="4" t="str">
        <f t="shared" si="366"/>
        <v>-</v>
      </c>
      <c r="I597" s="4" t="str">
        <f t="shared" si="366"/>
        <v>-</v>
      </c>
      <c r="J597" s="4" t="str">
        <f t="shared" si="366"/>
        <v>-</v>
      </c>
      <c r="K597" s="4" t="str">
        <f t="shared" si="366"/>
        <v>-</v>
      </c>
    </row>
    <row r="598" spans="2:11" x14ac:dyDescent="0.35">
      <c r="B598" s="9" t="str">
        <f t="shared" si="350"/>
        <v>SPS4</v>
      </c>
      <c r="C598" s="9" t="s">
        <v>7</v>
      </c>
      <c r="D598" s="2" t="s">
        <v>376</v>
      </c>
      <c r="E598" s="9" t="s">
        <v>8</v>
      </c>
      <c r="F598" s="1">
        <f>[1]Other_transformation!B$12</f>
        <v>0.1916626461791609</v>
      </c>
      <c r="G598" s="1">
        <f>[1]Other_transformation!C$12</f>
        <v>2.9842972146335857E-5</v>
      </c>
      <c r="H598" s="1">
        <f>[1]Other_transformation!D$12</f>
        <v>0.20684047188435184</v>
      </c>
      <c r="I598" s="1">
        <f>[1]Other_transformation!E$12</f>
        <v>6.7535030794277281E-5</v>
      </c>
      <c r="J598" s="1">
        <f>[1]Other_transformation!F$12</f>
        <v>6.6698175709827958E-5</v>
      </c>
      <c r="K598" s="1">
        <f>[1]Other_transformation!G$12</f>
        <v>3.6222924798538225E-5</v>
      </c>
    </row>
    <row r="599" spans="2:11" x14ac:dyDescent="0.35">
      <c r="B599" s="5" t="str">
        <f t="shared" si="350"/>
        <v>SPS4</v>
      </c>
      <c r="C599" s="5" t="s">
        <v>7</v>
      </c>
      <c r="D599" t="s">
        <v>2165</v>
      </c>
      <c r="E599" t="str">
        <f>E598</f>
        <v>PJ/yr.</v>
      </c>
      <c r="F599" s="1">
        <f>SUM(F600:F601)</f>
        <v>0.1916626461791609</v>
      </c>
      <c r="G599" s="1">
        <f t="shared" ref="G599:K599" si="367">SUM(G600:G601)</f>
        <v>2.9842972146335857E-5</v>
      </c>
      <c r="H599" s="1">
        <f t="shared" si="367"/>
        <v>0.20684047188435184</v>
      </c>
      <c r="I599" s="1">
        <f t="shared" si="367"/>
        <v>6.7535030794277281E-5</v>
      </c>
      <c r="J599" s="1">
        <f t="shared" si="367"/>
        <v>6.6698175709827958E-5</v>
      </c>
      <c r="K599" s="1">
        <f t="shared" si="367"/>
        <v>3.6222924798538225E-5</v>
      </c>
    </row>
    <row r="600" spans="2:11" x14ac:dyDescent="0.35">
      <c r="B600" s="5" t="str">
        <f t="shared" si="350"/>
        <v>SPS4</v>
      </c>
      <c r="C600" s="5" t="s">
        <v>7</v>
      </c>
      <c r="D600" t="s">
        <v>2166</v>
      </c>
      <c r="E600" t="str">
        <f t="shared" ref="E600:E601" si="368">E599</f>
        <v>PJ/yr.</v>
      </c>
      <c r="F600" s="1" cm="1">
        <f t="array" ref="F600">SUMPRODUCT(("CT_CWODETH"=[1]OUT_SyntheticFuels!$C$4:$C$1000)*1,("ETH"=[1]OUT_SyntheticFuels!$A$4:$A$1000)*1,("Var_Fout"=[1]OUT_SyntheticFuels!$B$4:$B$1000)*1,[1]OUT_SyntheticFuels!E$4:E$1000)</f>
        <v>0.1916626461791609</v>
      </c>
      <c r="G600" s="1" cm="1">
        <f t="array" ref="G600">SUMPRODUCT(("CT_CWODETH"=[1]OUT_SyntheticFuels!$C$4:$C$1000)*1,("ETH"=[1]OUT_SyntheticFuels!$A$4:$A$1000)*1,("Var_Fout"=[1]OUT_SyntheticFuels!$B$4:$B$1000)*1,[1]OUT_SyntheticFuels!F$4:F$1000)</f>
        <v>2.9842972146335857E-5</v>
      </c>
      <c r="H600" s="1" cm="1">
        <f t="array" ref="H600">SUMPRODUCT(("CT_CWODETH"=[1]OUT_SyntheticFuels!$C$4:$C$1000)*1,("ETH"=[1]OUT_SyntheticFuels!$A$4:$A$1000)*1,("Var_Fout"=[1]OUT_SyntheticFuels!$B$4:$B$1000)*1,[1]OUT_SyntheticFuels!G$4:G$1000)</f>
        <v>0.20684047188435184</v>
      </c>
      <c r="I600" s="1" cm="1">
        <f t="array" ref="I600">SUMPRODUCT(("CT_CWODETH"=[1]OUT_SyntheticFuels!$C$4:$C$1000)*1,("ETH"=[1]OUT_SyntheticFuels!$A$4:$A$1000)*1,("Var_Fout"=[1]OUT_SyntheticFuels!$B$4:$B$1000)*1,[1]OUT_SyntheticFuels!H$4:H$1000)</f>
        <v>6.7535030794277281E-5</v>
      </c>
      <c r="J600" s="1" cm="1">
        <f t="array" ref="J600">SUMPRODUCT(("CT_CWODETH"=[1]OUT_SyntheticFuels!$C$4:$C$1000)*1,("ETH"=[1]OUT_SyntheticFuels!$A$4:$A$1000)*1,("Var_Fout"=[1]OUT_SyntheticFuels!$B$4:$B$1000)*1,[1]OUT_SyntheticFuels!I$4:I$1000)</f>
        <v>6.6698175709827958E-5</v>
      </c>
      <c r="K600" s="1" cm="1">
        <f t="array" ref="K600">SUMPRODUCT(("CT_CWODETH"=[1]OUT_SyntheticFuels!$C$4:$C$1000)*1,("ETH"=[1]OUT_SyntheticFuels!$A$4:$A$1000)*1,("Var_Fout"=[1]OUT_SyntheticFuels!$B$4:$B$1000)*1,[1]OUT_SyntheticFuels!J$4:J$1000)</f>
        <v>3.6222924798538225E-5</v>
      </c>
    </row>
    <row r="601" spans="2:11" x14ac:dyDescent="0.35">
      <c r="B601" s="5" t="str">
        <f t="shared" si="350"/>
        <v>SPS4</v>
      </c>
      <c r="C601" s="5" t="s">
        <v>7</v>
      </c>
      <c r="D601" t="s">
        <v>2167</v>
      </c>
      <c r="E601" t="str">
        <f t="shared" si="368"/>
        <v>PJ/yr.</v>
      </c>
      <c r="F601" s="1" cm="1">
        <f t="array" ref="F601">SUMPRODUCT(("CT_CWODETHCCS"=[1]OUT_SyntheticFuels!$C$4:$C$1000)*1,("ETH"=[1]OUT_SyntheticFuels!$A$4:$A$1000)*1,("Var_Fout"=[1]OUT_SyntheticFuels!$B$4:$B$1000)*1,[1]OUT_SyntheticFuels!E$4:E$1000)</f>
        <v>0</v>
      </c>
      <c r="G601" s="1" cm="1">
        <f t="array" ref="G601">SUMPRODUCT(("CT_CWODETHCCS"=[1]OUT_SyntheticFuels!$C$4:$C$1000)*1,("ETH"=[1]OUT_SyntheticFuels!$A$4:$A$1000)*1,("Var_Fout"=[1]OUT_SyntheticFuels!$B$4:$B$1000)*1,[1]OUT_SyntheticFuels!F$4:F$1000)</f>
        <v>0</v>
      </c>
      <c r="H601" s="1" cm="1">
        <f t="array" ref="H601">SUMPRODUCT(("CT_CWODETHCCS"=[1]OUT_SyntheticFuels!$C$4:$C$1000)*1,("ETH"=[1]OUT_SyntheticFuels!$A$4:$A$1000)*1,("Var_Fout"=[1]OUT_SyntheticFuels!$B$4:$B$1000)*1,[1]OUT_SyntheticFuels!G$4:G$1000)</f>
        <v>0</v>
      </c>
      <c r="I601" s="1" cm="1">
        <f t="array" ref="I601">SUMPRODUCT(("CT_CWODETHCCS"=[1]OUT_SyntheticFuels!$C$4:$C$1000)*1,("ETH"=[1]OUT_SyntheticFuels!$A$4:$A$1000)*1,("Var_Fout"=[1]OUT_SyntheticFuels!$B$4:$B$1000)*1,[1]OUT_SyntheticFuels!H$4:H$1000)</f>
        <v>0</v>
      </c>
      <c r="J601" s="1" cm="1">
        <f t="array" ref="J601">SUMPRODUCT(("CT_CWODETHCCS"=[1]OUT_SyntheticFuels!$C$4:$C$1000)*1,("ETH"=[1]OUT_SyntheticFuels!$A$4:$A$1000)*1,("Var_Fout"=[1]OUT_SyntheticFuels!$B$4:$B$1000)*1,[1]OUT_SyntheticFuels!I$4:I$1000)</f>
        <v>0</v>
      </c>
      <c r="K601" s="1" cm="1">
        <f t="array" ref="K601">SUMPRODUCT(("CT_CWODETHCCS"=[1]OUT_SyntheticFuels!$C$4:$C$1000)*1,("ETH"=[1]OUT_SyntheticFuels!$A$4:$A$1000)*1,("Var_Fout"=[1]OUT_SyntheticFuels!$B$4:$B$1000)*1,[1]OUT_SyntheticFuels!J$4:J$1000)</f>
        <v>0</v>
      </c>
    </row>
    <row r="602" spans="2:11" x14ac:dyDescent="0.35">
      <c r="B602" s="9" t="str">
        <f t="shared" si="350"/>
        <v>SPS4</v>
      </c>
      <c r="C602" s="9" t="s">
        <v>7</v>
      </c>
      <c r="D602" s="2" t="s">
        <v>378</v>
      </c>
      <c r="E602" s="9" t="s">
        <v>8</v>
      </c>
      <c r="F602" s="3">
        <f>F603+F606</f>
        <v>0.71490167024827045</v>
      </c>
      <c r="G602" s="3">
        <f t="shared" ref="G602:K602" si="369">G603+G606</f>
        <v>1.1131428610583265E-4</v>
      </c>
      <c r="H602" s="3">
        <f t="shared" si="369"/>
        <v>0.77151496012863241</v>
      </c>
      <c r="I602" s="3">
        <f t="shared" si="369"/>
        <v>2.5190566486265416E-4</v>
      </c>
      <c r="J602" s="3">
        <f t="shared" si="369"/>
        <v>2.4878419539765834E-4</v>
      </c>
      <c r="K602" s="3">
        <f t="shared" si="369"/>
        <v>1.3511150949854756E-4</v>
      </c>
    </row>
    <row r="603" spans="2:11" x14ac:dyDescent="0.35">
      <c r="B603" s="5" t="str">
        <f t="shared" si="350"/>
        <v>SPS4</v>
      </c>
      <c r="C603" s="5" t="s">
        <v>7</v>
      </c>
      <c r="D603" t="s">
        <v>907</v>
      </c>
      <c r="E603" s="5" t="s">
        <v>8</v>
      </c>
      <c r="F603" s="1">
        <f>SUM(F604:F605)</f>
        <v>0.40057493051444665</v>
      </c>
      <c r="G603" s="1">
        <f t="shared" ref="G603:K603" si="370">SUM(G604:G605)</f>
        <v>6.2371811785841879E-5</v>
      </c>
      <c r="H603" s="1">
        <f t="shared" si="370"/>
        <v>0.43229658623829514</v>
      </c>
      <c r="I603" s="1">
        <f t="shared" si="370"/>
        <v>1.4114821436003944E-4</v>
      </c>
      <c r="J603" s="1">
        <f t="shared" si="370"/>
        <v>1.3939918723354045E-4</v>
      </c>
      <c r="K603" s="1">
        <f t="shared" si="370"/>
        <v>7.5705912828944873E-5</v>
      </c>
    </row>
    <row r="604" spans="2:11" x14ac:dyDescent="0.35">
      <c r="B604" s="5" t="str">
        <f t="shared" si="350"/>
        <v>SPS4</v>
      </c>
      <c r="C604" s="5" t="s">
        <v>7</v>
      </c>
      <c r="D604" t="s">
        <v>321</v>
      </c>
      <c r="E604" s="5" t="s">
        <v>8</v>
      </c>
      <c r="F604" s="1" cm="1">
        <f t="array" ref="F604">SUMPRODUCT(("CT_CWODETH"=[1]OUT_SyntheticFuels!$C$4:$C$1000)*1,("cwod"=[1]OUT_SyntheticFuels!$A$4:$A$1000)*1,("Var_Fin"=[1]OUT_SyntheticFuels!$B$4:$B$1000)*1,[1]OUT_SyntheticFuels!E$4:E$1000)</f>
        <v>0.40057493051444665</v>
      </c>
      <c r="G604" s="1" cm="1">
        <f t="array" ref="G604">SUMPRODUCT(("CT_CWODETH"=[1]OUT_SyntheticFuels!$C$4:$C$1000)*1,("cwod"=[1]OUT_SyntheticFuels!$A$4:$A$1000)*1,("Var_Fin"=[1]OUT_SyntheticFuels!$B$4:$B$1000)*1,[1]OUT_SyntheticFuels!F$4:F$1000)</f>
        <v>6.2371811785841879E-5</v>
      </c>
      <c r="H604" s="1" cm="1">
        <f t="array" ref="H604">SUMPRODUCT(("CT_CWODETH"=[1]OUT_SyntheticFuels!$C$4:$C$1000)*1,("cwod"=[1]OUT_SyntheticFuels!$A$4:$A$1000)*1,("Var_Fin"=[1]OUT_SyntheticFuels!$B$4:$B$1000)*1,[1]OUT_SyntheticFuels!G$4:G$1000)</f>
        <v>0.43229658623829514</v>
      </c>
      <c r="I604" s="1" cm="1">
        <f t="array" ref="I604">SUMPRODUCT(("CT_CWODETH"=[1]OUT_SyntheticFuels!$C$4:$C$1000)*1,("cwod"=[1]OUT_SyntheticFuels!$A$4:$A$1000)*1,("Var_Fin"=[1]OUT_SyntheticFuels!$B$4:$B$1000)*1,[1]OUT_SyntheticFuels!H$4:H$1000)</f>
        <v>1.4114821436003944E-4</v>
      </c>
      <c r="J604" s="1" cm="1">
        <f t="array" ref="J604">SUMPRODUCT(("CT_CWODETH"=[1]OUT_SyntheticFuels!$C$4:$C$1000)*1,("cwod"=[1]OUT_SyntheticFuels!$A$4:$A$1000)*1,("Var_Fin"=[1]OUT_SyntheticFuels!$B$4:$B$1000)*1,[1]OUT_SyntheticFuels!I$4:I$1000)</f>
        <v>1.3939918723354045E-4</v>
      </c>
      <c r="K604" s="1" cm="1">
        <f t="array" ref="K604">SUMPRODUCT(("CT_CWODETH"=[1]OUT_SyntheticFuels!$C$4:$C$1000)*1,("cwod"=[1]OUT_SyntheticFuels!$A$4:$A$1000)*1,("Var_Fin"=[1]OUT_SyntheticFuels!$B$4:$B$1000)*1,[1]OUT_SyntheticFuels!J$4:J$1000)</f>
        <v>7.5705912828944873E-5</v>
      </c>
    </row>
    <row r="605" spans="2:11" x14ac:dyDescent="0.35">
      <c r="B605" s="5" t="str">
        <f t="shared" si="350"/>
        <v>SPS4</v>
      </c>
      <c r="C605" s="5" t="s">
        <v>7</v>
      </c>
      <c r="D605" t="s">
        <v>322</v>
      </c>
      <c r="E605" s="5" t="s">
        <v>8</v>
      </c>
      <c r="F605" s="1" cm="1">
        <f t="array" ref="F605">SUMPRODUCT(("CT_CWODETHCCS"=[1]OUT_SyntheticFuels!$C$4:$C$1000)*1,("cwod"=[1]OUT_SyntheticFuels!$A$4:$A$1000)*1,("Var_Fin"=[1]OUT_SyntheticFuels!$B$4:$B$1000)*1,[1]OUT_SyntheticFuels!E$4:E$1000)</f>
        <v>0</v>
      </c>
      <c r="G605" s="1" cm="1">
        <f t="array" ref="G605">SUMPRODUCT(("CT_CWODETHCCS"=[1]OUT_SyntheticFuels!$C$4:$C$1000)*1,("cwod"=[1]OUT_SyntheticFuels!$A$4:$A$1000)*1,("Var_Fin"=[1]OUT_SyntheticFuels!$B$4:$B$1000)*1,[1]OUT_SyntheticFuels!F$4:F$1000)</f>
        <v>0</v>
      </c>
      <c r="H605" s="1" cm="1">
        <f t="array" ref="H605">SUMPRODUCT(("CT_CWODETHCCS"=[1]OUT_SyntheticFuels!$C$4:$C$1000)*1,("cwod"=[1]OUT_SyntheticFuels!$A$4:$A$1000)*1,("Var_Fin"=[1]OUT_SyntheticFuels!$B$4:$B$1000)*1,[1]OUT_SyntheticFuels!G$4:G$1000)</f>
        <v>0</v>
      </c>
      <c r="I605" s="1" cm="1">
        <f t="array" ref="I605">SUMPRODUCT(("CT_CWODETHCCS"=[1]OUT_SyntheticFuels!$C$4:$C$1000)*1,("cwod"=[1]OUT_SyntheticFuels!$A$4:$A$1000)*1,("Var_Fin"=[1]OUT_SyntheticFuels!$B$4:$B$1000)*1,[1]OUT_SyntheticFuels!H$4:H$1000)</f>
        <v>0</v>
      </c>
      <c r="J605" s="1" cm="1">
        <f t="array" ref="J605">SUMPRODUCT(("CT_CWODETHCCS"=[1]OUT_SyntheticFuels!$C$4:$C$1000)*1,("cwod"=[1]OUT_SyntheticFuels!$A$4:$A$1000)*1,("Var_Fin"=[1]OUT_SyntheticFuels!$B$4:$B$1000)*1,[1]OUT_SyntheticFuels!I$4:I$1000)</f>
        <v>0</v>
      </c>
      <c r="K605" s="1" cm="1">
        <f t="array" ref="K605">SUMPRODUCT(("CT_CWODETHCCS"=[1]OUT_SyntheticFuels!$C$4:$C$1000)*1,("cwod"=[1]OUT_SyntheticFuels!$A$4:$A$1000)*1,("Var_Fin"=[1]OUT_SyntheticFuels!$B$4:$B$1000)*1,[1]OUT_SyntheticFuels!J$4:J$1000)</f>
        <v>0</v>
      </c>
    </row>
    <row r="606" spans="2:11" x14ac:dyDescent="0.35">
      <c r="B606" s="5" t="str">
        <f t="shared" si="350"/>
        <v>SPS4</v>
      </c>
      <c r="C606" s="5" t="s">
        <v>7</v>
      </c>
      <c r="D606" t="s">
        <v>908</v>
      </c>
      <c r="E606" s="5" t="s">
        <v>8</v>
      </c>
      <c r="F606" s="1">
        <f>SUM(F607:F608)</f>
        <v>0.31432673973382375</v>
      </c>
      <c r="G606" s="1">
        <f t="shared" ref="G606:K606" si="371">SUM(G607:G608)</f>
        <v>4.8942474319990782E-5</v>
      </c>
      <c r="H606" s="1">
        <f t="shared" si="371"/>
        <v>0.33921837389033732</v>
      </c>
      <c r="I606" s="1">
        <f t="shared" si="371"/>
        <v>1.1075745050261473E-4</v>
      </c>
      <c r="J606" s="1">
        <f t="shared" si="371"/>
        <v>1.0938500816411787E-4</v>
      </c>
      <c r="K606" s="1">
        <f t="shared" si="371"/>
        <v>5.9405596669602694E-5</v>
      </c>
    </row>
    <row r="607" spans="2:11" x14ac:dyDescent="0.35">
      <c r="B607" s="5" t="str">
        <f t="shared" si="350"/>
        <v>SPS4</v>
      </c>
      <c r="C607" s="5" t="s">
        <v>7</v>
      </c>
      <c r="D607" t="s">
        <v>323</v>
      </c>
      <c r="E607" s="5" t="s">
        <v>8</v>
      </c>
      <c r="F607" s="1" cm="1">
        <f t="array" ref="F607">SUMPRODUCT(("CT_CWODETH"=[1]OUT_SyntheticFuels!$C$4:$C$1000)*1,("celc"=[1]OUT_SyntheticFuels!$A$4:$A$1000)*1,("Var_Fin"=[1]OUT_SyntheticFuels!$B$4:$B$1000)*1,[1]OUT_SyntheticFuels!E$4:E$1000)</f>
        <v>0.31432673973382375</v>
      </c>
      <c r="G607" s="1" cm="1">
        <f t="array" ref="G607">SUMPRODUCT(("CT_CWODETH"=[1]OUT_SyntheticFuels!$C$4:$C$1000)*1,("celc"=[1]OUT_SyntheticFuels!$A$4:$A$1000)*1,("Var_Fin"=[1]OUT_SyntheticFuels!$B$4:$B$1000)*1,[1]OUT_SyntheticFuels!F$4:F$1000)</f>
        <v>4.8942474319990782E-5</v>
      </c>
      <c r="H607" s="1" cm="1">
        <f t="array" ref="H607">SUMPRODUCT(("CT_CWODETH"=[1]OUT_SyntheticFuels!$C$4:$C$1000)*1,("celc"=[1]OUT_SyntheticFuels!$A$4:$A$1000)*1,("Var_Fin"=[1]OUT_SyntheticFuels!$B$4:$B$1000)*1,[1]OUT_SyntheticFuels!G$4:G$1000)</f>
        <v>0.33921837389033732</v>
      </c>
      <c r="I607" s="1" cm="1">
        <f t="array" ref="I607">SUMPRODUCT(("CT_CWODETH"=[1]OUT_SyntheticFuels!$C$4:$C$1000)*1,("celc"=[1]OUT_SyntheticFuels!$A$4:$A$1000)*1,("Var_Fin"=[1]OUT_SyntheticFuels!$B$4:$B$1000)*1,[1]OUT_SyntheticFuels!H$4:H$1000)</f>
        <v>1.1075745050261473E-4</v>
      </c>
      <c r="J607" s="1" cm="1">
        <f t="array" ref="J607">SUMPRODUCT(("CT_CWODETH"=[1]OUT_SyntheticFuels!$C$4:$C$1000)*1,("celc"=[1]OUT_SyntheticFuels!$A$4:$A$1000)*1,("Var_Fin"=[1]OUT_SyntheticFuels!$B$4:$B$1000)*1,[1]OUT_SyntheticFuels!I$4:I$1000)</f>
        <v>1.0938500816411787E-4</v>
      </c>
      <c r="K607" s="1" cm="1">
        <f t="array" ref="K607">SUMPRODUCT(("CT_CWODETH"=[1]OUT_SyntheticFuels!$C$4:$C$1000)*1,("celc"=[1]OUT_SyntheticFuels!$A$4:$A$1000)*1,("Var_Fin"=[1]OUT_SyntheticFuels!$B$4:$B$1000)*1,[1]OUT_SyntheticFuels!J$4:J$1000)</f>
        <v>5.9405596669602694E-5</v>
      </c>
    </row>
    <row r="608" spans="2:11" x14ac:dyDescent="0.35">
      <c r="B608" s="5" t="str">
        <f t="shared" si="350"/>
        <v>SPS4</v>
      </c>
      <c r="C608" s="5" t="s">
        <v>7</v>
      </c>
      <c r="D608" t="s">
        <v>324</v>
      </c>
      <c r="E608" s="5" t="s">
        <v>8</v>
      </c>
      <c r="F608" s="1" cm="1">
        <f t="array" ref="F608">SUMPRODUCT(("CT_CWODETHCCS"=[1]OUT_SyntheticFuels!$C$4:$C$1000)*1,("celc"=[1]OUT_SyntheticFuels!$A$4:$A$1000)*1,("Var_Fin"=[1]OUT_SyntheticFuels!$B$4:$B$1000)*1,[1]OUT_SyntheticFuels!E$4:E$1000)</f>
        <v>0</v>
      </c>
      <c r="G608" s="1" cm="1">
        <f t="array" ref="G608">SUMPRODUCT(("CT_CWODETHCCS"=[1]OUT_SyntheticFuels!$C$4:$C$1000)*1,("celc"=[1]OUT_SyntheticFuels!$A$4:$A$1000)*1,("Var_Fin"=[1]OUT_SyntheticFuels!$B$4:$B$1000)*1,[1]OUT_SyntheticFuels!F$4:F$1000)</f>
        <v>0</v>
      </c>
      <c r="H608" s="1" cm="1">
        <f t="array" ref="H608">SUMPRODUCT(("CT_CWODETHCCS"=[1]OUT_SyntheticFuels!$C$4:$C$1000)*1,("celc"=[1]OUT_SyntheticFuels!$A$4:$A$1000)*1,("Var_Fin"=[1]OUT_SyntheticFuels!$B$4:$B$1000)*1,[1]OUT_SyntheticFuels!G$4:G$1000)</f>
        <v>0</v>
      </c>
      <c r="I608" s="1" cm="1">
        <f t="array" ref="I608">SUMPRODUCT(("CT_CWODETHCCS"=[1]OUT_SyntheticFuels!$C$4:$C$1000)*1,("celc"=[1]OUT_SyntheticFuels!$A$4:$A$1000)*1,("Var_Fin"=[1]OUT_SyntheticFuels!$B$4:$B$1000)*1,[1]OUT_SyntheticFuels!H$4:H$1000)</f>
        <v>0</v>
      </c>
      <c r="J608" s="1" cm="1">
        <f t="array" ref="J608">SUMPRODUCT(("CT_CWODETHCCS"=[1]OUT_SyntheticFuels!$C$4:$C$1000)*1,("celc"=[1]OUT_SyntheticFuels!$A$4:$A$1000)*1,("Var_Fin"=[1]OUT_SyntheticFuels!$B$4:$B$1000)*1,[1]OUT_SyntheticFuels!I$4:I$1000)</f>
        <v>0</v>
      </c>
      <c r="K608" s="1" cm="1">
        <f t="array" ref="K608">SUMPRODUCT(("CT_CWODETHCCS"=[1]OUT_SyntheticFuels!$C$4:$C$1000)*1,("celc"=[1]OUT_SyntheticFuels!$A$4:$A$1000)*1,("Var_Fin"=[1]OUT_SyntheticFuels!$B$4:$B$1000)*1,[1]OUT_SyntheticFuels!J$4:J$1000)</f>
        <v>0</v>
      </c>
    </row>
    <row r="609" spans="2:11" x14ac:dyDescent="0.35">
      <c r="B609" s="9" t="str">
        <f t="shared" si="350"/>
        <v>SPS4</v>
      </c>
      <c r="C609" s="9" t="s">
        <v>7</v>
      </c>
      <c r="D609" s="2" t="s">
        <v>311</v>
      </c>
      <c r="E609" s="9" t="s">
        <v>240</v>
      </c>
      <c r="F609" t="s">
        <v>292</v>
      </c>
      <c r="G609" t="s">
        <v>292</v>
      </c>
      <c r="H609" t="s">
        <v>292</v>
      </c>
      <c r="I609" t="s">
        <v>292</v>
      </c>
      <c r="J609" t="s">
        <v>292</v>
      </c>
      <c r="K609" t="s">
        <v>292</v>
      </c>
    </row>
    <row r="610" spans="2:11" x14ac:dyDescent="0.35">
      <c r="B610" s="5" t="str">
        <f t="shared" si="350"/>
        <v>SPS4</v>
      </c>
      <c r="C610" s="5" t="s">
        <v>7</v>
      </c>
      <c r="D610" t="s">
        <v>312</v>
      </c>
      <c r="E610" s="5" t="s">
        <v>240</v>
      </c>
      <c r="F610" s="4">
        <f>IFERROR(F600/SUM(F604,F607),"-")</f>
        <v>0.26809651474530821</v>
      </c>
      <c r="G610">
        <f t="shared" ref="G610:K611" si="372">IFERROR(G600/SUM(G604,G607),"-")</f>
        <v>0.26809651474530855</v>
      </c>
      <c r="H610">
        <f t="shared" si="372"/>
        <v>0.26809651474530827</v>
      </c>
      <c r="I610">
        <f t="shared" si="372"/>
        <v>0.26809651474530843</v>
      </c>
      <c r="J610">
        <f t="shared" si="372"/>
        <v>0.26809651474530827</v>
      </c>
      <c r="K610">
        <f t="shared" si="372"/>
        <v>0.26809651474530832</v>
      </c>
    </row>
    <row r="611" spans="2:11" x14ac:dyDescent="0.35">
      <c r="B611" s="5" t="str">
        <f t="shared" si="350"/>
        <v>SPS4</v>
      </c>
      <c r="C611" s="5" t="s">
        <v>7</v>
      </c>
      <c r="D611" t="s">
        <v>313</v>
      </c>
      <c r="E611" s="5" t="s">
        <v>240</v>
      </c>
      <c r="F611" t="str">
        <f>IFERROR(F601/SUM(F605,F608),"-")</f>
        <v>-</v>
      </c>
      <c r="G611" t="str">
        <f t="shared" si="372"/>
        <v>-</v>
      </c>
      <c r="H611" t="str">
        <f t="shared" si="372"/>
        <v>-</v>
      </c>
      <c r="I611" t="str">
        <f t="shared" si="372"/>
        <v>-</v>
      </c>
      <c r="J611" t="str">
        <f t="shared" si="372"/>
        <v>-</v>
      </c>
      <c r="K611" t="str">
        <f t="shared" si="372"/>
        <v>-</v>
      </c>
    </row>
    <row r="612" spans="2:11" x14ac:dyDescent="0.35">
      <c r="B612" s="5" t="str">
        <f t="shared" si="350"/>
        <v>SPS4</v>
      </c>
      <c r="C612" s="5" t="s">
        <v>7</v>
      </c>
      <c r="D612" s="2" t="s">
        <v>381</v>
      </c>
      <c r="E612" s="9" t="s">
        <v>8</v>
      </c>
      <c r="F612" s="3">
        <f>F613+F614+F619</f>
        <v>6.957426609315954</v>
      </c>
      <c r="G612" s="3">
        <f t="shared" ref="G612" si="373">G613+G614+G619</f>
        <v>9.9819501726137094</v>
      </c>
      <c r="H612" s="3">
        <f t="shared" ref="H612" si="374">H613+H614+H619</f>
        <v>10.413462501433491</v>
      </c>
      <c r="I612" s="3">
        <f t="shared" ref="I612" si="375">I613+I614+I619</f>
        <v>10.603362051186924</v>
      </c>
      <c r="J612" s="3">
        <f t="shared" ref="J612" si="376">J613+J614+J619</f>
        <v>11.164153815872684</v>
      </c>
      <c r="K612" s="3">
        <f t="shared" ref="K612" si="377">K613+K614+K619</f>
        <v>15.247409653307658</v>
      </c>
    </row>
    <row r="613" spans="2:11" x14ac:dyDescent="0.35">
      <c r="B613" s="5" t="str">
        <f t="shared" si="350"/>
        <v>SPS4</v>
      </c>
      <c r="C613" s="5" t="s">
        <v>7</v>
      </c>
      <c r="D613" t="s">
        <v>314</v>
      </c>
      <c r="E613" s="5" t="s">
        <v>8</v>
      </c>
      <c r="F613" s="1">
        <f>[1]Other_transformation!B$19</f>
        <v>1.3280091174643331</v>
      </c>
      <c r="G613" s="1">
        <f>[1]Other_transformation!C$19</f>
        <v>3.7440522589622196</v>
      </c>
      <c r="H613" s="1">
        <f>[1]Other_transformation!D$19</f>
        <v>4.384649977747646</v>
      </c>
      <c r="I613" s="1">
        <f>[1]Other_transformation!E$19</f>
        <v>4.3847645814473006</v>
      </c>
      <c r="J613" s="1">
        <f>[1]Other_transformation!F$19</f>
        <v>5.1131911574657574</v>
      </c>
      <c r="K613" s="1">
        <f>[1]Other_transformation!G$19</f>
        <v>6.5773818727606699</v>
      </c>
    </row>
    <row r="614" spans="2:11" x14ac:dyDescent="0.35">
      <c r="B614" s="5" t="str">
        <f t="shared" si="350"/>
        <v>SPS4</v>
      </c>
      <c r="C614" s="5" t="s">
        <v>7</v>
      </c>
      <c r="D614" t="s">
        <v>909</v>
      </c>
      <c r="E614" s="5" t="s">
        <v>8</v>
      </c>
      <c r="F614" s="1">
        <f>[1]Other_transformation!B$20</f>
        <v>5.6294174918516209</v>
      </c>
      <c r="G614" s="1">
        <f>[1]Other_transformation!C$20</f>
        <v>6.2378429241645739</v>
      </c>
      <c r="H614" s="1">
        <f>[1]Other_transformation!D$20</f>
        <v>6.0286683864379818</v>
      </c>
      <c r="I614" s="1">
        <f>[1]Other_transformation!E$20</f>
        <v>6.218372341083942</v>
      </c>
      <c r="J614" s="1">
        <f>[1]Other_transformation!F$20</f>
        <v>6.0506776027477107</v>
      </c>
      <c r="K614" s="1">
        <f>[1]Other_transformation!G$20</f>
        <v>8.669745466778906</v>
      </c>
    </row>
    <row r="615" spans="2:11" x14ac:dyDescent="0.35">
      <c r="B615" s="5" t="str">
        <f t="shared" si="350"/>
        <v>SPS4</v>
      </c>
      <c r="C615" s="5" t="s">
        <v>7</v>
      </c>
      <c r="D615" t="s">
        <v>315</v>
      </c>
      <c r="E615" s="5" t="s">
        <v>8</v>
      </c>
      <c r="F615" s="1" cm="1">
        <f t="array" ref="F615">SUMPRODUCT(("SUP_WSTBIO"=[1]OUT_SyntheticFuels!$C$4:$C$1000)*1,("BIO"=[1]OUT_SyntheticFuels!$A$4:$A$1000)*1,("Var_Fout"=[1]OUT_SyntheticFuels!$B$4:$B$1000)*1,[1]OUT_SyntheticFuels!E$4:E$1000)</f>
        <v>5.6294174918516209</v>
      </c>
      <c r="G615" s="1" cm="1">
        <f t="array" ref="G615">SUMPRODUCT(("SUP_WSTBIO"=[1]OUT_SyntheticFuels!$C$4:$C$1000)*1,("BIO"=[1]OUT_SyntheticFuels!$A$4:$A$1000)*1,("Var_Fout"=[1]OUT_SyntheticFuels!$B$4:$B$1000)*1,[1]OUT_SyntheticFuels!F$4:F$1000)</f>
        <v>6.2378429241645739</v>
      </c>
      <c r="H615" s="1" cm="1">
        <f t="array" ref="H615">SUMPRODUCT(("SUP_WSTBIO"=[1]OUT_SyntheticFuels!$C$4:$C$1000)*1,("BIO"=[1]OUT_SyntheticFuels!$A$4:$A$1000)*1,("Var_Fout"=[1]OUT_SyntheticFuels!$B$4:$B$1000)*1,[1]OUT_SyntheticFuels!G$4:G$1000)</f>
        <v>6.0286683864379818</v>
      </c>
      <c r="I615" s="1" cm="1">
        <f t="array" ref="I615">SUMPRODUCT(("SUP_WSTBIO"=[1]OUT_SyntheticFuels!$C$4:$C$1000)*1,("BIO"=[1]OUT_SyntheticFuels!$A$4:$A$1000)*1,("Var_Fout"=[1]OUT_SyntheticFuels!$B$4:$B$1000)*1,[1]OUT_SyntheticFuels!H$4:H$1000)</f>
        <v>6.218372341083942</v>
      </c>
      <c r="J615" s="1" cm="1">
        <f t="array" ref="J615">SUMPRODUCT(("SUP_WSTBIO"=[1]OUT_SyntheticFuels!$C$4:$C$1000)*1,("BIO"=[1]OUT_SyntheticFuels!$A$4:$A$1000)*1,("Var_Fout"=[1]OUT_SyntheticFuels!$B$4:$B$1000)*1,[1]OUT_SyntheticFuels!I$4:I$1000)</f>
        <v>6.0503244382023569</v>
      </c>
      <c r="K615" s="1" cm="1">
        <f t="array" ref="K615">SUMPRODUCT(("SUP_WSTBIO"=[1]OUT_SyntheticFuels!$C$4:$C$1000)*1,("BIO"=[1]OUT_SyntheticFuels!$A$4:$A$1000)*1,("Var_Fout"=[1]OUT_SyntheticFuels!$B$4:$B$1000)*1,[1]OUT_SyntheticFuels!J$4:J$1000)</f>
        <v>8.6693548022071347</v>
      </c>
    </row>
    <row r="616" spans="2:11" x14ac:dyDescent="0.35">
      <c r="B616" s="5" t="str">
        <f t="shared" si="350"/>
        <v>SPS4</v>
      </c>
      <c r="C616" s="5" t="s">
        <v>7</v>
      </c>
      <c r="D616" t="s">
        <v>316</v>
      </c>
      <c r="E616" s="5" t="s">
        <v>8</v>
      </c>
      <c r="F616" s="1" cm="1">
        <f t="array" ref="F616">SUMPRODUCT(("SUP_WSTBIOCCS"=[1]OUT_SyntheticFuels!$C$4:$C$1000)*1,("BIO"=[1]OUT_SyntheticFuels!$A$4:$A$1000)*1,("Var_Fout"=[1]OUT_SyntheticFuels!$B$4:$B$1000)*1,[1]OUT_SyntheticFuels!E$4:E$1000)</f>
        <v>0</v>
      </c>
      <c r="G616" s="1" cm="1">
        <f t="array" ref="G616">SUMPRODUCT(("SUP_WSTBIOCCS"=[1]OUT_SyntheticFuels!$C$4:$C$1000)*1,("BIO"=[1]OUT_SyntheticFuels!$A$4:$A$1000)*1,("Var_Fout"=[1]OUT_SyntheticFuels!$B$4:$B$1000)*1,[1]OUT_SyntheticFuels!F$4:F$1000)</f>
        <v>0</v>
      </c>
      <c r="H616" s="1" cm="1">
        <f t="array" ref="H616">SUMPRODUCT(("SUP_WSTBIOCCS"=[1]OUT_SyntheticFuels!$C$4:$C$1000)*1,("BIO"=[1]OUT_SyntheticFuels!$A$4:$A$1000)*1,("Var_Fout"=[1]OUT_SyntheticFuels!$B$4:$B$1000)*1,[1]OUT_SyntheticFuels!G$4:G$1000)</f>
        <v>0</v>
      </c>
      <c r="I616" s="1" cm="1">
        <f t="array" ref="I616">SUMPRODUCT(("SUP_WSTBIOCCS"=[1]OUT_SyntheticFuels!$C$4:$C$1000)*1,("BIO"=[1]OUT_SyntheticFuels!$A$4:$A$1000)*1,("Var_Fout"=[1]OUT_SyntheticFuels!$B$4:$B$1000)*1,[1]OUT_SyntheticFuels!H$4:H$1000)</f>
        <v>0</v>
      </c>
      <c r="J616" s="1" cm="1">
        <f t="array" ref="J616">SUMPRODUCT(("SUP_WSTBIOCCS"=[1]OUT_SyntheticFuels!$C$4:$C$1000)*1,("BIO"=[1]OUT_SyntheticFuels!$A$4:$A$1000)*1,("Var_Fout"=[1]OUT_SyntheticFuels!$B$4:$B$1000)*1,[1]OUT_SyntheticFuels!I$4:I$1000)</f>
        <v>0</v>
      </c>
      <c r="K616" s="1" cm="1">
        <f t="array" ref="K616">SUMPRODUCT(("SUP_WSTBIOCCS"=[1]OUT_SyntheticFuels!$C$4:$C$1000)*1,("BIO"=[1]OUT_SyntheticFuels!$A$4:$A$1000)*1,("Var_Fout"=[1]OUT_SyntheticFuels!$B$4:$B$1000)*1,[1]OUT_SyntheticFuels!J$4:J$1000)</f>
        <v>0</v>
      </c>
    </row>
    <row r="617" spans="2:11" x14ac:dyDescent="0.35">
      <c r="B617" s="5" t="str">
        <f t="shared" si="350"/>
        <v>SPS4</v>
      </c>
      <c r="C617" s="5" t="s">
        <v>7</v>
      </c>
      <c r="D617" t="s">
        <v>318</v>
      </c>
      <c r="E617" s="5" t="s">
        <v>8</v>
      </c>
      <c r="F617" s="1" cm="1">
        <f t="array" ref="F617">SUMPRODUCT(("SUP_WSTHTGBIO"=[1]OUT_SyntheticFuels!$C$4:$C$1000)*1,("BIO"=[1]OUT_SyntheticFuels!$A$4:$A$1000)*1,("Var_Fout"=[1]OUT_SyntheticFuels!$B$4:$B$1000)*1,[1]OUT_SyntheticFuels!E$4:E$1000)</f>
        <v>0</v>
      </c>
      <c r="G617" s="1" cm="1">
        <f t="array" ref="G617">SUMPRODUCT(("SUP_WSTHTGBIO"=[1]OUT_SyntheticFuels!$C$4:$C$1000)*1,("BIO"=[1]OUT_SyntheticFuels!$A$4:$A$1000)*1,("Var_Fout"=[1]OUT_SyntheticFuels!$B$4:$B$1000)*1,[1]OUT_SyntheticFuels!F$4:F$1000)</f>
        <v>0</v>
      </c>
      <c r="H617" s="1" cm="1">
        <f t="array" ref="H617">SUMPRODUCT(("SUP_WSTHTGBIO"=[1]OUT_SyntheticFuels!$C$4:$C$1000)*1,("BIO"=[1]OUT_SyntheticFuels!$A$4:$A$1000)*1,("Var_Fout"=[1]OUT_SyntheticFuels!$B$4:$B$1000)*1,[1]OUT_SyntheticFuels!G$4:G$1000)</f>
        <v>0</v>
      </c>
      <c r="I617" s="1" cm="1">
        <f t="array" ref="I617">SUMPRODUCT(("SUP_WSTHTGBIO"=[1]OUT_SyntheticFuels!$C$4:$C$1000)*1,("BIO"=[1]OUT_SyntheticFuels!$A$4:$A$1000)*1,("Var_Fout"=[1]OUT_SyntheticFuels!$B$4:$B$1000)*1,[1]OUT_SyntheticFuels!H$4:H$1000)</f>
        <v>0</v>
      </c>
      <c r="J617" s="1" cm="1">
        <f t="array" ref="J617">SUMPRODUCT(("SUP_WSTHTGBIO"=[1]OUT_SyntheticFuels!$C$4:$C$1000)*1,("BIO"=[1]OUT_SyntheticFuels!$A$4:$A$1000)*1,("Var_Fout"=[1]OUT_SyntheticFuels!$B$4:$B$1000)*1,[1]OUT_SyntheticFuels!I$4:I$1000)</f>
        <v>3.5316454535377917E-4</v>
      </c>
      <c r="K617" s="1" cm="1">
        <f t="array" ref="K617">SUMPRODUCT(("SUP_WSTHTGBIO"=[1]OUT_SyntheticFuels!$C$4:$C$1000)*1,("BIO"=[1]OUT_SyntheticFuels!$A$4:$A$1000)*1,("Var_Fout"=[1]OUT_SyntheticFuels!$B$4:$B$1000)*1,[1]OUT_SyntheticFuels!J$4:J$1000)</f>
        <v>3.9066457177171476E-4</v>
      </c>
    </row>
    <row r="618" spans="2:11" x14ac:dyDescent="0.35">
      <c r="B618" s="5" t="str">
        <f t="shared" si="350"/>
        <v>SPS4</v>
      </c>
      <c r="C618" s="5" t="s">
        <v>7</v>
      </c>
      <c r="D618" t="s">
        <v>317</v>
      </c>
      <c r="E618" s="5" t="s">
        <v>8</v>
      </c>
      <c r="F618" s="1" cm="1">
        <f t="array" ref="F618">SUMPRODUCT(("SUP_WSTHTGBIOCCS"=[1]OUT_SyntheticFuels!$C$4:$C$1000)*1,("BIO"=[1]OUT_SyntheticFuels!$A$4:$A$1000)*1,("Var_Fout"=[1]OUT_SyntheticFuels!$B$4:$B$1000)*1,[1]OUT_SyntheticFuels!E$4:E$1000)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SUMPRODUCT(("SUP_WSTHTGBIOCCS"=[1]OUT_SyntheticFuels!$C$4:$C$1000)*1,("BIO"=[1]OUT_SyntheticFuels!$A$4:$A$1000)*1,("Var_Fout"=[1]OUT_SyntheticFuels!$B$4:$B$1000)*1,[1]OUT_SyntheticFuels!F$4:F$1000)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SUMPRODUCT(("SUP_WSTHTGBIOCCS"=[1]OUT_SyntheticFuels!$C$4:$C$1000)*1,("BIO"=[1]OUT_SyntheticFuels!$A$4:$A$1000)*1,("Var_Fout"=[1]OUT_SyntheticFuels!$B$4:$B$1000)*1,[1]OUT_SyntheticFuels!G$4:G$1000)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SUMPRODUCT(("SUP_WSTHTGBIOCCS"=[1]OUT_SyntheticFuels!$C$4:$C$1000)*1,("BIO"=[1]OUT_SyntheticFuels!$A$4:$A$1000)*1,("Var_Fout"=[1]OUT_SyntheticFuels!$B$4:$B$1000)*1,[1]OUT_SyntheticFuels!H$4:H$1000)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SUMPRODUCT(("SUP_WSTHTGBIOCCS"=[1]OUT_SyntheticFuels!$C$4:$C$1000)*1,("BIO"=[1]OUT_SyntheticFuels!$A$4:$A$1000)*1,("Var_Fout"=[1]OUT_SyntheticFuels!$B$4:$B$1000)*1,[1]OUT_SyntheticFuels!I$4:I$1000)</f>
        <v>0</v>
      </c>
      <c r="K618" s="1" cm="1">
        <f t="array" ref="K618">SUMPRODUCT(("SUP_WSTHTGBIOCCS"=[1]OUT_SyntheticFuels!$C$4:$C$1000)*1,("BIO"=[1]OUT_SyntheticFuels!$A$4:$A$1000)*1,("Var_Fout"=[1]OUT_SyntheticFuels!$B$4:$B$1000)*1,[1]OUT_SyntheticFuels!J$4:J$1000)</f>
        <v>0</v>
      </c>
    </row>
    <row r="619" spans="2:11" x14ac:dyDescent="0.35">
      <c r="B619" s="5" t="str">
        <f t="shared" si="350"/>
        <v>SPS4</v>
      </c>
      <c r="C619" s="5" t="s">
        <v>7</v>
      </c>
      <c r="D619" t="s">
        <v>910</v>
      </c>
      <c r="E619" s="5" t="s">
        <v>8</v>
      </c>
      <c r="F619" s="1">
        <f>[1]Other_transformation!B$21</f>
        <v>0</v>
      </c>
      <c r="G619" s="1">
        <f>[1]Other_transformation!C$21</f>
        <v>5.4989486915303783E-5</v>
      </c>
      <c r="H619" s="1">
        <f>[1]Other_transformation!D$21</f>
        <v>1.441372478635769E-4</v>
      </c>
      <c r="I619" s="1">
        <f>[1]Other_transformation!E$21</f>
        <v>2.2512865568162746E-4</v>
      </c>
      <c r="J619" s="1">
        <f>[1]Other_transformation!F$21</f>
        <v>2.8505565921613376E-4</v>
      </c>
      <c r="K619" s="1">
        <f>[1]Other_transformation!G$21</f>
        <v>2.8231376808197635E-4</v>
      </c>
    </row>
    <row r="620" spans="2:11" x14ac:dyDescent="0.35">
      <c r="B620" s="5" t="str">
        <f t="shared" si="350"/>
        <v>SPS4</v>
      </c>
      <c r="C620" s="5" t="s">
        <v>7</v>
      </c>
      <c r="D620" t="s">
        <v>319</v>
      </c>
      <c r="E620" s="5" t="s">
        <v>8</v>
      </c>
      <c r="F620" s="1" cm="1">
        <f t="array" ref="F620">SUMPRODUCT(("SUP_WODBIO"=[1]OUT_SyntheticFuels!$C$4:$C$1000)*1,("BIO"=[1]OUT_SyntheticFuels!$A$4:$A$1000)*1,("Var_Fout"=[1]OUT_SyntheticFuels!$B$4:$B$1000)*1,[1]OUT_SyntheticFuels!E$4:E$1000)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SUMPRODUCT(("SUP_WODBIO"=[1]OUT_SyntheticFuels!$C$4:$C$1000)*1,("BIO"=[1]OUT_SyntheticFuels!$A$4:$A$1000)*1,("Var_Fout"=[1]OUT_SyntheticFuels!$B$4:$B$1000)*1,[1]OUT_SyntheticFuels!F$4:F$1000)</f>
        <v>5.4989486915303783E-5</v>
      </c>
      <c r="H620" s="1" cm="1">
        <f t="array" ref="H620">SUMPRODUCT(("SUP_WODBIO"=[1]OUT_SyntheticFuels!$C$4:$C$1000)*1,("BIO"=[1]OUT_SyntheticFuels!$A$4:$A$1000)*1,("Var_Fout"=[1]OUT_SyntheticFuels!$B$4:$B$1000)*1,[1]OUT_SyntheticFuels!G$4:G$1000)</f>
        <v>1.441372478635769E-4</v>
      </c>
      <c r="I620" s="1" cm="1">
        <f t="array" ref="I620">SUMPRODUCT(("SUP_WODBIO"=[1]OUT_SyntheticFuels!$C$4:$C$1000)*1,("BIO"=[1]OUT_SyntheticFuels!$A$4:$A$1000)*1,("Var_Fout"=[1]OUT_SyntheticFuels!$B$4:$B$1000)*1,[1]OUT_SyntheticFuels!H$4:H$1000)</f>
        <v>2.2512865568162746E-4</v>
      </c>
      <c r="J620" s="1" cm="1">
        <f t="array" ref="J620">SUMPRODUCT(("SUP_WODBIO"=[1]OUT_SyntheticFuels!$C$4:$C$1000)*1,("BIO"=[1]OUT_SyntheticFuels!$A$4:$A$1000)*1,("Var_Fout"=[1]OUT_SyntheticFuels!$B$4:$B$1000)*1,[1]OUT_SyntheticFuels!I$4:I$1000)</f>
        <v>2.8505565921613376E-4</v>
      </c>
      <c r="K620" s="1" cm="1">
        <f t="array" ref="K620">SUMPRODUCT(("SUP_WODBIO"=[1]OUT_SyntheticFuels!$C$4:$C$1000)*1,("BIO"=[1]OUT_SyntheticFuels!$A$4:$A$1000)*1,("Var_Fout"=[1]OUT_SyntheticFuels!$B$4:$B$1000)*1,[1]OUT_SyntheticFuels!J$4:J$1000)</f>
        <v>2.8231376808197635E-4</v>
      </c>
    </row>
    <row r="621" spans="2:11" x14ac:dyDescent="0.35">
      <c r="B621" s="5" t="str">
        <f t="shared" si="350"/>
        <v>SPS4</v>
      </c>
      <c r="C621" s="5" t="s">
        <v>7</v>
      </c>
      <c r="D621" t="s">
        <v>320</v>
      </c>
      <c r="E621" s="5" t="s">
        <v>8</v>
      </c>
      <c r="F621" s="1" cm="1">
        <f t="array" ref="F621">SUMPRODUCT(("SUP_WODBIOCCS"=[1]OUT_SyntheticFuels!$C$4:$C$1000)*1,("BIO"=[1]OUT_SyntheticFuels!$A$4:$A$1000)*1,("Var_Fout"=[1]OUT_SyntheticFuels!$B$4:$B$1000)*1,[1]OUT_SyntheticFuels!E$4:E$1000)</f>
        <v>0</v>
      </c>
      <c r="G621" s="1" cm="1">
        <f t="array" ref="G621">SUMPRODUCT(("SUP_WODBIOCCS"=[1]OUT_SyntheticFuels!$C$4:$C$1000)*1,("BIO"=[1]OUT_SyntheticFuels!$A$4:$A$1000)*1,("Var_Fout"=[1]OUT_SyntheticFuels!$B$4:$B$1000)*1,[1]OUT_SyntheticFuels!F$4:F$1000)</f>
        <v>0</v>
      </c>
      <c r="H621" s="1" cm="1">
        <f t="array" ref="H621">SUMPRODUCT(("SUP_WODBIOCCS"=[1]OUT_SyntheticFuels!$C$4:$C$1000)*1,("BIO"=[1]OUT_SyntheticFuels!$A$4:$A$1000)*1,("Var_Fout"=[1]OUT_SyntheticFuels!$B$4:$B$1000)*1,[1]OUT_SyntheticFuels!G$4:G$1000)</f>
        <v>0</v>
      </c>
      <c r="I621" s="1" cm="1">
        <f t="array" ref="I621">SUMPRODUCT(("SUP_WODBIOCCS"=[1]OUT_SyntheticFuels!$C$4:$C$1000)*1,("BIO"=[1]OUT_SyntheticFuels!$A$4:$A$1000)*1,("Var_Fout"=[1]OUT_SyntheticFuels!$B$4:$B$1000)*1,[1]OUT_SyntheticFuels!H$4:H$1000)</f>
        <v>0</v>
      </c>
      <c r="J621" s="1" cm="1">
        <f t="array" ref="J621">SUMPRODUCT(("SUP_WODBIOCCS"=[1]OUT_SyntheticFuels!$C$4:$C$1000)*1,("BIO"=[1]OUT_SyntheticFuels!$A$4:$A$1000)*1,("Var_Fout"=[1]OUT_SyntheticFuels!$B$4:$B$1000)*1,[1]OUT_SyntheticFuels!I$4:I$1000)</f>
        <v>0</v>
      </c>
      <c r="K621" s="1" cm="1">
        <f t="array" ref="K621">SUMPRODUCT(("SUP_WODBIOCCS"=[1]OUT_SyntheticFuels!$C$4:$C$1000)*1,("BIO"=[1]OUT_SyntheticFuels!$A$4:$A$1000)*1,("Var_Fout"=[1]OUT_SyntheticFuels!$B$4:$B$1000)*1,[1]OUT_SyntheticFuels!J$4:J$1000)</f>
        <v>0</v>
      </c>
    </row>
    <row r="622" spans="2:11" x14ac:dyDescent="0.35">
      <c r="B622" s="5" t="str">
        <f t="shared" si="350"/>
        <v>SPS4</v>
      </c>
      <c r="C622" s="5" t="s">
        <v>7</v>
      </c>
      <c r="D622" s="2" t="s">
        <v>383</v>
      </c>
      <c r="E622" s="9" t="s">
        <v>8</v>
      </c>
      <c r="F622" s="3">
        <f>F623+F624+F629</f>
        <v>0.11258834983703246</v>
      </c>
      <c r="G622" s="3">
        <f t="shared" ref="G622" si="378">G623+G624+G629</f>
        <v>0.12475685848329146</v>
      </c>
      <c r="H622" s="3">
        <f t="shared" ref="H622" si="379">H623+H624+H629</f>
        <v>0.12057913321867426</v>
      </c>
      <c r="I622" s="3">
        <f t="shared" ref="I622" si="380">I623+I624+I629</f>
        <v>0.12437645196790616</v>
      </c>
      <c r="J622" s="3">
        <f t="shared" ref="J622" si="381">J623+J624+J629</f>
        <v>0.12101789099041564</v>
      </c>
      <c r="K622" s="3">
        <f t="shared" ref="K622" si="382">K623+K624+K629</f>
        <v>0.17339838859486606</v>
      </c>
    </row>
    <row r="623" spans="2:11" x14ac:dyDescent="0.35">
      <c r="B623" s="5" t="str">
        <f t="shared" si="350"/>
        <v>SPS4</v>
      </c>
      <c r="C623" s="5" t="s">
        <v>7</v>
      </c>
      <c r="D623" t="s">
        <v>329</v>
      </c>
      <c r="E623" s="5" t="s">
        <v>8</v>
      </c>
      <c r="F623" s="1" cm="1">
        <f t="array" ref="F623">SUMPRODUCT(("SUP_MNRBIO"=[1]OUT_SyntheticFuels!$C$4:$C$1000)*1,("Var_Fout"=[1]OUT_SyntheticFuels!$B$4:$B$1000)*1,("ELC35"=[1]OUT_SyntheticFuels!$A$4:$A$1000)*1,[1]OUT_SyntheticFuels!E$4:E$1000)</f>
        <v>0</v>
      </c>
      <c r="G623" s="1" cm="1">
        <f t="array" ref="G623">SUMPRODUCT(("SUP_MNRBIO"=[1]OUT_SyntheticFuels!$C$4:$C$1000)*1,("Var_Fout"=[1]OUT_SyntheticFuels!$B$4:$B$1000)*1,("ELC35"=[1]OUT_SyntheticFuels!$A$4:$A$1000)*1,[1]OUT_SyntheticFuels!F$4:F$1000)</f>
        <v>0</v>
      </c>
      <c r="H623" s="1" cm="1">
        <f t="array" ref="H623">SUMPRODUCT(("SUP_MNRBIO"=[1]OUT_SyntheticFuels!$C$4:$C$1000)*1,("Var_Fout"=[1]OUT_SyntheticFuels!$B$4:$B$1000)*1,("ELC35"=[1]OUT_SyntheticFuels!$A$4:$A$1000)*1,[1]OUT_SyntheticFuels!G$4:G$1000)</f>
        <v>0</v>
      </c>
      <c r="I623" s="1" cm="1">
        <f t="array" ref="I623">SUMPRODUCT(("SUP_MNRBIO"=[1]OUT_SyntheticFuels!$C$4:$C$1000)*1,("Var_Fout"=[1]OUT_SyntheticFuels!$B$4:$B$1000)*1,("ELC35"=[1]OUT_SyntheticFuels!$A$4:$A$1000)*1,[1]OUT_SyntheticFuels!H$4:H$1000)</f>
        <v>0</v>
      </c>
      <c r="J623" s="1" cm="1">
        <f t="array" ref="J623">SUMPRODUCT(("SUP_MNRBIO"=[1]OUT_SyntheticFuels!$C$4:$C$1000)*1,("Var_Fout"=[1]OUT_SyntheticFuels!$B$4:$B$1000)*1,("ELC35"=[1]OUT_SyntheticFuels!$A$4:$A$1000)*1,[1]OUT_SyntheticFuels!I$4:I$1000)</f>
        <v>0</v>
      </c>
      <c r="K623" s="1" cm="1">
        <f t="array" ref="K623">SUMPRODUCT(("SUP_MNRBIO"=[1]OUT_SyntheticFuels!$C$4:$C$1000)*1,("Var_Fout"=[1]OUT_SyntheticFuels!$B$4:$B$1000)*1,("ELC35"=[1]OUT_SyntheticFuels!$A$4:$A$1000)*1,[1]OUT_SyntheticFuels!J$4:J$1000)</f>
        <v>0</v>
      </c>
    </row>
    <row r="624" spans="2:11" x14ac:dyDescent="0.35">
      <c r="B624" s="5" t="str">
        <f t="shared" si="350"/>
        <v>SPS4</v>
      </c>
      <c r="C624" s="5" t="s">
        <v>7</v>
      </c>
      <c r="D624" t="s">
        <v>330</v>
      </c>
      <c r="E624" s="5" t="s">
        <v>8</v>
      </c>
      <c r="F624" s="1">
        <f>SUM(F625:F628)</f>
        <v>0.11258834983703246</v>
      </c>
      <c r="G624" s="1">
        <f t="shared" ref="G624:K624" si="383">SUM(G625:G628)</f>
        <v>0.12475685848329146</v>
      </c>
      <c r="H624" s="1">
        <f t="shared" si="383"/>
        <v>0.12057336772875972</v>
      </c>
      <c r="I624" s="1">
        <f t="shared" si="383"/>
        <v>0.1243674468216789</v>
      </c>
      <c r="J624" s="1">
        <f t="shared" si="383"/>
        <v>0.121006488764047</v>
      </c>
      <c r="K624" s="1">
        <f t="shared" si="383"/>
        <v>0.17338709604414279</v>
      </c>
    </row>
    <row r="625" spans="2:11" x14ac:dyDescent="0.35">
      <c r="B625" s="5" t="str">
        <f t="shared" si="350"/>
        <v>SPS4</v>
      </c>
      <c r="C625" s="5" t="s">
        <v>7</v>
      </c>
      <c r="D625" t="s">
        <v>331</v>
      </c>
      <c r="E625" s="5" t="s">
        <v>8</v>
      </c>
      <c r="F625" s="1" cm="1">
        <f t="array" ref="F625">SUMPRODUCT(("SUP_WSTBIO"=[1]OUT_SyntheticFuels!$C$4:$C$1000)*1,("elc35"=[1]OUT_SyntheticFuels!$A$4:$A$1000)*1,("Var_Fout"=[1]OUT_SyntheticFuels!$B$4:$B$1000)*1,[1]OUT_SyntheticFuels!E$4:E$1000)</f>
        <v>0.11258834983703246</v>
      </c>
      <c r="G625" s="1" cm="1">
        <f t="array" ref="G625">SUMPRODUCT(("SUP_WSTBIO"=[1]OUT_SyntheticFuels!$C$4:$C$1000)*1,("elc35"=[1]OUT_SyntheticFuels!$A$4:$A$1000)*1,("Var_Fout"=[1]OUT_SyntheticFuels!$B$4:$B$1000)*1,[1]OUT_SyntheticFuels!F$4:F$1000)</f>
        <v>0.12475685848329146</v>
      </c>
      <c r="H625" s="1" cm="1">
        <f t="array" ref="H625">SUMPRODUCT(("SUP_WSTBIO"=[1]OUT_SyntheticFuels!$C$4:$C$1000)*1,("elc35"=[1]OUT_SyntheticFuels!$A$4:$A$1000)*1,("Var_Fout"=[1]OUT_SyntheticFuels!$B$4:$B$1000)*1,[1]OUT_SyntheticFuels!G$4:G$1000)</f>
        <v>0.12057336772875972</v>
      </c>
      <c r="I625" s="1" cm="1">
        <f t="array" ref="I625">SUMPRODUCT(("SUP_WSTBIO"=[1]OUT_SyntheticFuels!$C$4:$C$1000)*1,("elc35"=[1]OUT_SyntheticFuels!$A$4:$A$1000)*1,("Var_Fout"=[1]OUT_SyntheticFuels!$B$4:$B$1000)*1,[1]OUT_SyntheticFuels!H$4:H$1000)</f>
        <v>0.1243674468216789</v>
      </c>
      <c r="J625" s="1" cm="1">
        <f t="array" ref="J625">SUMPRODUCT(("SUP_WSTBIO"=[1]OUT_SyntheticFuels!$C$4:$C$1000)*1,("elc35"=[1]OUT_SyntheticFuels!$A$4:$A$1000)*1,("Var_Fout"=[1]OUT_SyntheticFuels!$B$4:$B$1000)*1,[1]OUT_SyntheticFuels!I$4:I$1000)</f>
        <v>0.121006488764047</v>
      </c>
      <c r="K625" s="1" cm="1">
        <f t="array" ref="K625">SUMPRODUCT(("SUP_WSTBIO"=[1]OUT_SyntheticFuels!$C$4:$C$1000)*1,("elc35"=[1]OUT_SyntheticFuels!$A$4:$A$1000)*1,("Var_Fout"=[1]OUT_SyntheticFuels!$B$4:$B$1000)*1,[1]OUT_SyntheticFuels!J$4:J$1000)</f>
        <v>0.17338709604414279</v>
      </c>
    </row>
    <row r="626" spans="2:11" x14ac:dyDescent="0.35">
      <c r="B626" s="5" t="str">
        <f t="shared" si="350"/>
        <v>SPS4</v>
      </c>
      <c r="C626" s="5" t="s">
        <v>7</v>
      </c>
      <c r="D626" t="s">
        <v>332</v>
      </c>
      <c r="E626" s="5" t="s">
        <v>8</v>
      </c>
      <c r="F626" s="1" cm="1">
        <f t="array" ref="F626">SUMPRODUCT(("SUP_WSTBIOCCS"=[1]OUT_SyntheticFuels!$C$4:$C$1000)*1,("elc35"=[1]OUT_SyntheticFuels!$A$4:$A$1000)*1,("Var_Fout"=[1]OUT_SyntheticFuels!$B$4:$B$1000)*1,[1]OUT_SyntheticFuels!E$4:E$1000)</f>
        <v>0</v>
      </c>
      <c r="G626" s="1" cm="1">
        <f t="array" ref="G626">SUMPRODUCT(("SUP_WSTBIOCCS"=[1]OUT_SyntheticFuels!$C$4:$C$1000)*1,("elc35"=[1]OUT_SyntheticFuels!$A$4:$A$1000)*1,("Var_Fout"=[1]OUT_SyntheticFuels!$B$4:$B$1000)*1,[1]OUT_SyntheticFuels!F$4:F$1000)</f>
        <v>0</v>
      </c>
      <c r="H626" s="1" cm="1">
        <f t="array" ref="H626">SUMPRODUCT(("SUP_WSTBIOCCS"=[1]OUT_SyntheticFuels!$C$4:$C$1000)*1,("elc35"=[1]OUT_SyntheticFuels!$A$4:$A$1000)*1,("Var_Fout"=[1]OUT_SyntheticFuels!$B$4:$B$1000)*1,[1]OUT_SyntheticFuels!G$4:G$1000)</f>
        <v>0</v>
      </c>
      <c r="I626" s="1" cm="1">
        <f t="array" ref="I626">SUMPRODUCT(("SUP_WSTBIOCCS"=[1]OUT_SyntheticFuels!$C$4:$C$1000)*1,("elc35"=[1]OUT_SyntheticFuels!$A$4:$A$1000)*1,("Var_Fout"=[1]OUT_SyntheticFuels!$B$4:$B$1000)*1,[1]OUT_SyntheticFuels!H$4:H$1000)</f>
        <v>0</v>
      </c>
      <c r="J626" s="1" cm="1">
        <f t="array" ref="J626">SUMPRODUCT(("SUP_WSTBIOCCS"=[1]OUT_SyntheticFuels!$C$4:$C$1000)*1,("elc35"=[1]OUT_SyntheticFuels!$A$4:$A$1000)*1,("Var_Fout"=[1]OUT_SyntheticFuels!$B$4:$B$1000)*1,[1]OUT_SyntheticFuels!I$4:I$1000)</f>
        <v>0</v>
      </c>
      <c r="K626" s="1" cm="1">
        <f t="array" ref="K626">SUMPRODUCT(("SUP_WSTBIOCCS"=[1]OUT_SyntheticFuels!$C$4:$C$1000)*1,("elc35"=[1]OUT_SyntheticFuels!$A$4:$A$1000)*1,("Var_Fout"=[1]OUT_SyntheticFuels!$B$4:$B$1000)*1,[1]OUT_SyntheticFuels!J$4:J$1000)</f>
        <v>0</v>
      </c>
    </row>
    <row r="627" spans="2:11" x14ac:dyDescent="0.35">
      <c r="B627" s="5" t="str">
        <f t="shared" si="350"/>
        <v>SPS4</v>
      </c>
      <c r="C627" s="5" t="s">
        <v>7</v>
      </c>
      <c r="D627" t="s">
        <v>333</v>
      </c>
      <c r="E627" s="5" t="s">
        <v>8</v>
      </c>
      <c r="F627" s="1" cm="1">
        <f t="array" ref="F627">SUMPRODUCT(("SUP_WSTHTGBIO"=[1]OUT_SyntheticFuels!$C$4:$C$1000)*1,("elc35"=[1]OUT_SyntheticFuels!$A$4:$A$1000)*1,("Var_Fout"=[1]OUT_SyntheticFuels!$B$4:$B$1000)*1,[1]OUT_SyntheticFuels!E$4:E$1000)</f>
        <v>0</v>
      </c>
      <c r="G627" s="1" cm="1">
        <f t="array" ref="G627">SUMPRODUCT(("SUP_WSTHTGBIO"=[1]OUT_SyntheticFuels!$C$4:$C$1000)*1,("elc35"=[1]OUT_SyntheticFuels!$A$4:$A$1000)*1,("Var_Fout"=[1]OUT_SyntheticFuels!$B$4:$B$1000)*1,[1]OUT_SyntheticFuels!F$4:F$1000)</f>
        <v>0</v>
      </c>
      <c r="H627" s="1" cm="1">
        <f t="array" ref="H627">SUMPRODUCT(("SUP_WSTHTGBIO"=[1]OUT_SyntheticFuels!$C$4:$C$1000)*1,("elc35"=[1]OUT_SyntheticFuels!$A$4:$A$1000)*1,("Var_Fout"=[1]OUT_SyntheticFuels!$B$4:$B$1000)*1,[1]OUT_SyntheticFuels!G$4:G$1000)</f>
        <v>0</v>
      </c>
      <c r="I627" s="1" cm="1">
        <f t="array" ref="I627">SUMPRODUCT(("SUP_WSTHTGBIO"=[1]OUT_SyntheticFuels!$C$4:$C$1000)*1,("elc35"=[1]OUT_SyntheticFuels!$A$4:$A$1000)*1,("Var_Fout"=[1]OUT_SyntheticFuels!$B$4:$B$1000)*1,[1]OUT_SyntheticFuels!H$4:H$1000)</f>
        <v>0</v>
      </c>
      <c r="J627" s="1" cm="1">
        <f t="array" ref="J627">SUMPRODUCT(("SUP_WSTHTGBIO"=[1]OUT_SyntheticFuels!$C$4:$C$1000)*1,("elc35"=[1]OUT_SyntheticFuels!$A$4:$A$1000)*1,("Var_Fout"=[1]OUT_SyntheticFuels!$B$4:$B$1000)*1,[1]OUT_SyntheticFuels!I$4:I$1000)</f>
        <v>0</v>
      </c>
      <c r="K627" s="1" cm="1">
        <f t="array" ref="K627">SUMPRODUCT(("SUP_WSTHTGBIO"=[1]OUT_SyntheticFuels!$C$4:$C$1000)*1,("elc35"=[1]OUT_SyntheticFuels!$A$4:$A$1000)*1,("Var_Fout"=[1]OUT_SyntheticFuels!$B$4:$B$1000)*1,[1]OUT_SyntheticFuels!J$4:J$1000)</f>
        <v>0</v>
      </c>
    </row>
    <row r="628" spans="2:11" x14ac:dyDescent="0.35">
      <c r="B628" s="5" t="str">
        <f t="shared" ref="B628:B691" si="384">B627</f>
        <v>SPS4</v>
      </c>
      <c r="C628" s="5" t="s">
        <v>7</v>
      </c>
      <c r="D628" t="s">
        <v>334</v>
      </c>
      <c r="E628" s="5" t="s">
        <v>8</v>
      </c>
      <c r="F628" s="1" cm="1">
        <f t="array" ref="F628">SUMPRODUCT(("SUP_WSTHTGBIOCCS"=[1]OUT_SyntheticFuels!$C$4:$C$1000)*1,("elc35"=[1]OUT_SyntheticFuels!$A$4:$A$1000)*1,("Var_Fout"=[1]OUT_SyntheticFuels!$B$4:$B$1000)*1,[1]OUT_SyntheticFuels!E$4:E$1000)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SUMPRODUCT(("SUP_WSTHTGBIOCCS"=[1]OUT_SyntheticFuels!$C$4:$C$1000)*1,("elc35"=[1]OUT_SyntheticFuels!$A$4:$A$1000)*1,("Var_Fout"=[1]OUT_SyntheticFuels!$B$4:$B$1000)*1,[1]OUT_SyntheticFuels!F$4:F$1000)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SUMPRODUCT(("SUP_WSTHTGBIOCCS"=[1]OUT_SyntheticFuels!$C$4:$C$1000)*1,("elc35"=[1]OUT_SyntheticFuels!$A$4:$A$1000)*1,("Var_Fout"=[1]OUT_SyntheticFuels!$B$4:$B$1000)*1,[1]OUT_SyntheticFuels!G$4:G$1000)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SUMPRODUCT(("SUP_WSTHTGBIOCCS"=[1]OUT_SyntheticFuels!$C$4:$C$1000)*1,("elc35"=[1]OUT_SyntheticFuels!$A$4:$A$1000)*1,("Var_Fout"=[1]OUT_SyntheticFuels!$B$4:$B$1000)*1,[1]OUT_SyntheticFuels!H$4:H$1000)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SUMPRODUCT(("SUP_WSTHTGBIOCCS"=[1]OUT_SyntheticFuels!$C$4:$C$1000)*1,("elc35"=[1]OUT_SyntheticFuels!$A$4:$A$1000)*1,("Var_Fout"=[1]OUT_SyntheticFuels!$B$4:$B$1000)*1,[1]OUT_SyntheticFuels!I$4:I$1000)</f>
        <v>0</v>
      </c>
      <c r="K628" s="1" cm="1">
        <f t="array" ref="K628">SUMPRODUCT(("SUP_WSTHTGBIOCCS"=[1]OUT_SyntheticFuels!$C$4:$C$1000)*1,("elc35"=[1]OUT_SyntheticFuels!$A$4:$A$1000)*1,("Var_Fout"=[1]OUT_SyntheticFuels!$B$4:$B$1000)*1,[1]OUT_SyntheticFuels!J$4:J$1000)</f>
        <v>0</v>
      </c>
    </row>
    <row r="629" spans="2:11" x14ac:dyDescent="0.35">
      <c r="B629" s="5" t="str">
        <f t="shared" si="384"/>
        <v>SPS4</v>
      </c>
      <c r="C629" s="5" t="s">
        <v>7</v>
      </c>
      <c r="D629" t="s">
        <v>911</v>
      </c>
      <c r="E629" s="5" t="s">
        <v>8</v>
      </c>
      <c r="F629" s="1">
        <f>SUM(F630:F631)</f>
        <v>0</v>
      </c>
      <c r="G629" s="1">
        <f t="shared" ref="G629:K629" si="385">SUM(G630:G631)</f>
        <v>0</v>
      </c>
      <c r="H629" s="1">
        <f t="shared" si="385"/>
        <v>5.7654899145430842E-6</v>
      </c>
      <c r="I629" s="1">
        <f t="shared" si="385"/>
        <v>9.0051462272651116E-6</v>
      </c>
      <c r="J629" s="1">
        <f t="shared" si="385"/>
        <v>1.1402226368645366E-5</v>
      </c>
      <c r="K629" s="1">
        <f t="shared" si="385"/>
        <v>1.1292550723279083E-5</v>
      </c>
    </row>
    <row r="630" spans="2:11" x14ac:dyDescent="0.35">
      <c r="B630" s="5" t="str">
        <f t="shared" si="384"/>
        <v>SPS4</v>
      </c>
      <c r="C630" s="5" t="s">
        <v>7</v>
      </c>
      <c r="D630" t="s">
        <v>335</v>
      </c>
      <c r="E630" s="5" t="s">
        <v>8</v>
      </c>
      <c r="F630" s="1" cm="1">
        <f t="array" ref="F630">SUMPRODUCT(("SUP_WODBIO"=[1]OUT_SyntheticFuels!$C$4:$C$1000)*1,("elc35"=[1]OUT_SyntheticFuels!$A$4:$A$1000)*1,("Var_Fout"=[1]OUT_SyntheticFuels!$B$4:$B$1000)*1,[1]OUT_SyntheticFuels!E$4:E$1000)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SUMPRODUCT(("SUP_WODBIO"=[1]OUT_SyntheticFuels!$C$4:$C$1000)*1,("elc35"=[1]OUT_SyntheticFuels!$A$4:$A$1000)*1,("Var_Fout"=[1]OUT_SyntheticFuels!$B$4:$B$1000)*1,[1]OUT_SyntheticFuels!F$4:F$1000)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SUMPRODUCT(("SUP_WODBIO"=[1]OUT_SyntheticFuels!$C$4:$C$1000)*1,("elc35"=[1]OUT_SyntheticFuels!$A$4:$A$1000)*1,("Var_Fout"=[1]OUT_SyntheticFuels!$B$4:$B$1000)*1,[1]OUT_SyntheticFuels!G$4:G$1000)</f>
        <v>5.7654899145430842E-6</v>
      </c>
      <c r="I630" s="1" cm="1">
        <f t="array" ref="I630">SUMPRODUCT(("SUP_WODBIO"=[1]OUT_SyntheticFuels!$C$4:$C$1000)*1,("elc35"=[1]OUT_SyntheticFuels!$A$4:$A$1000)*1,("Var_Fout"=[1]OUT_SyntheticFuels!$B$4:$B$1000)*1,[1]OUT_SyntheticFuels!H$4:H$1000)</f>
        <v>9.0051462272651116E-6</v>
      </c>
      <c r="J630" s="1" cm="1">
        <f t="array" ref="J630">SUMPRODUCT(("SUP_WODBIO"=[1]OUT_SyntheticFuels!$C$4:$C$1000)*1,("elc35"=[1]OUT_SyntheticFuels!$A$4:$A$1000)*1,("Var_Fout"=[1]OUT_SyntheticFuels!$B$4:$B$1000)*1,[1]OUT_SyntheticFuels!I$4:I$1000)</f>
        <v>1.1402226368645366E-5</v>
      </c>
      <c r="K630" s="1" cm="1">
        <f t="array" ref="K630">SUMPRODUCT(("SUP_WODBIO"=[1]OUT_SyntheticFuels!$C$4:$C$1000)*1,("elc35"=[1]OUT_SyntheticFuels!$A$4:$A$1000)*1,("Var_Fout"=[1]OUT_SyntheticFuels!$B$4:$B$1000)*1,[1]OUT_SyntheticFuels!J$4:J$1000)</f>
        <v>1.1292550723279083E-5</v>
      </c>
    </row>
    <row r="631" spans="2:11" x14ac:dyDescent="0.35">
      <c r="B631" s="5" t="str">
        <f t="shared" si="384"/>
        <v>SPS4</v>
      </c>
      <c r="C631" s="5" t="s">
        <v>7</v>
      </c>
      <c r="D631" t="s">
        <v>336</v>
      </c>
      <c r="E631" s="5" t="s">
        <v>8</v>
      </c>
      <c r="F631" s="1" cm="1">
        <f t="array" ref="F631">SUMPRODUCT(("SUP_WODBIOCCS"=[1]OUT_SyntheticFuels!$C$4:$C$1000)*1,("elc35"=[1]OUT_SyntheticFuels!$A$4:$A$1000)*1,("Var_Fout"=[1]OUT_SyntheticFuels!$B$4:$B$1000)*1,[1]OUT_SyntheticFuels!E$4:E$1000)</f>
        <v>0</v>
      </c>
      <c r="G631" s="1" cm="1">
        <f t="array" ref="G631">SUMPRODUCT(("SUP_WODBIOCCS"=[1]OUT_SyntheticFuels!$C$4:$C$1000)*1,("elc35"=[1]OUT_SyntheticFuels!$A$4:$A$1000)*1,("Var_Fout"=[1]OUT_SyntheticFuels!$B$4:$B$1000)*1,[1]OUT_SyntheticFuels!F$4:F$1000)</f>
        <v>0</v>
      </c>
      <c r="H631" s="1" cm="1">
        <f t="array" ref="H631">SUMPRODUCT(("SUP_WODBIOCCS"=[1]OUT_SyntheticFuels!$C$4:$C$1000)*1,("elc35"=[1]OUT_SyntheticFuels!$A$4:$A$1000)*1,("Var_Fout"=[1]OUT_SyntheticFuels!$B$4:$B$1000)*1,[1]OUT_SyntheticFuels!G$4:G$1000)</f>
        <v>0</v>
      </c>
      <c r="I631" s="1" cm="1">
        <f t="array" ref="I631">SUMPRODUCT(("SUP_WODBIOCCS"=[1]OUT_SyntheticFuels!$C$4:$C$1000)*1,("elc35"=[1]OUT_SyntheticFuels!$A$4:$A$1000)*1,("Var_Fout"=[1]OUT_SyntheticFuels!$B$4:$B$1000)*1,[1]OUT_SyntheticFuels!H$4:H$1000)</f>
        <v>0</v>
      </c>
      <c r="J631" s="1" cm="1">
        <f t="array" ref="J631">SUMPRODUCT(("SUP_WODBIOCCS"=[1]OUT_SyntheticFuels!$C$4:$C$1000)*1,("elc35"=[1]OUT_SyntheticFuels!$A$4:$A$1000)*1,("Var_Fout"=[1]OUT_SyntheticFuels!$B$4:$B$1000)*1,[1]OUT_SyntheticFuels!I$4:I$1000)</f>
        <v>0</v>
      </c>
      <c r="K631" s="1" cm="1">
        <f t="array" ref="K631">SUMPRODUCT(("SUP_WODBIOCCS"=[1]OUT_SyntheticFuels!$C$4:$C$1000)*1,("elc35"=[1]OUT_SyntheticFuels!$A$4:$A$1000)*1,("Var_Fout"=[1]OUT_SyntheticFuels!$B$4:$B$1000)*1,[1]OUT_SyntheticFuels!J$4:J$1000)</f>
        <v>0</v>
      </c>
    </row>
    <row r="632" spans="2:11" x14ac:dyDescent="0.35">
      <c r="B632" s="5" t="str">
        <f t="shared" si="384"/>
        <v>SPS4</v>
      </c>
      <c r="C632" s="5" t="s">
        <v>7</v>
      </c>
      <c r="D632" s="2" t="s">
        <v>385</v>
      </c>
      <c r="E632" s="9" t="s">
        <v>8</v>
      </c>
      <c r="F632" s="3">
        <f>F633+F634+F639</f>
        <v>0</v>
      </c>
      <c r="G632" s="3">
        <f t="shared" ref="G632" si="386">G633+G634+G639</f>
        <v>6.5987384298364531E-6</v>
      </c>
      <c r="H632" s="3">
        <f t="shared" ref="H632" si="387">H633+H634+H639</f>
        <v>1.7296469743629243E-5</v>
      </c>
      <c r="I632" s="3">
        <f t="shared" ref="I632" si="388">I633+I634+I639</f>
        <v>2.7015438681795304E-5</v>
      </c>
      <c r="J632" s="3">
        <f t="shared" ref="J632" si="389">J633+J634+J639</f>
        <v>3.4206679105936034E-5</v>
      </c>
      <c r="K632" s="3">
        <f t="shared" ref="K632" si="390">K633+K634+K639</f>
        <v>3.3877652169837199E-5</v>
      </c>
    </row>
    <row r="633" spans="2:11" x14ac:dyDescent="0.35">
      <c r="B633" s="5" t="str">
        <f t="shared" si="384"/>
        <v>SPS4</v>
      </c>
      <c r="C633" s="5" t="s">
        <v>7</v>
      </c>
      <c r="D633" t="s">
        <v>337</v>
      </c>
      <c r="E633" s="5" t="s">
        <v>8</v>
      </c>
      <c r="F633" s="1" cm="1">
        <f t="array" ref="F633">SUMPRODUCT(("SUP_MNRBIO"=[1]OUT_SyntheticFuels!$C$4:$C$1000)*1,("Var_Fout"=[1]OUT_SyntheticFuels!$B$4:$B$1000)*1,("LTH"=[1]OUT_SyntheticFuels!$A$4:$A$1000)*1,[1]OUT_SyntheticFuels!E$4:E$1000)</f>
        <v>0</v>
      </c>
      <c r="G633" s="1" cm="1">
        <f t="array" ref="G633">SUMPRODUCT(("SUP_MNRBIO"=[1]OUT_SyntheticFuels!$C$4:$C$1000)*1,("Var_Fout"=[1]OUT_SyntheticFuels!$B$4:$B$1000)*1,("LTH"=[1]OUT_SyntheticFuels!$A$4:$A$1000)*1,[1]OUT_SyntheticFuels!F$4:F$1000)</f>
        <v>0</v>
      </c>
      <c r="H633" s="1" cm="1">
        <f t="array" ref="H633">SUMPRODUCT(("SUP_MNRBIO"=[1]OUT_SyntheticFuels!$C$4:$C$1000)*1,("Var_Fout"=[1]OUT_SyntheticFuels!$B$4:$B$1000)*1,("LTH"=[1]OUT_SyntheticFuels!$A$4:$A$1000)*1,[1]OUT_SyntheticFuels!G$4:G$1000)</f>
        <v>0</v>
      </c>
      <c r="I633" s="1" cm="1">
        <f t="array" ref="I633">SUMPRODUCT(("SUP_MNRBIO"=[1]OUT_SyntheticFuels!$C$4:$C$1000)*1,("Var_Fout"=[1]OUT_SyntheticFuels!$B$4:$B$1000)*1,("LTH"=[1]OUT_SyntheticFuels!$A$4:$A$1000)*1,[1]OUT_SyntheticFuels!H$4:H$1000)</f>
        <v>0</v>
      </c>
      <c r="J633" s="1" cm="1">
        <f t="array" ref="J633">SUMPRODUCT(("SUP_MNRBIO"=[1]OUT_SyntheticFuels!$C$4:$C$1000)*1,("Var_Fout"=[1]OUT_SyntheticFuels!$B$4:$B$1000)*1,("LTH"=[1]OUT_SyntheticFuels!$A$4:$A$1000)*1,[1]OUT_SyntheticFuels!I$4:I$1000)</f>
        <v>0</v>
      </c>
      <c r="K633" s="1" cm="1">
        <f t="array" ref="K633">SUMPRODUCT(("SUP_MNRBIO"=[1]OUT_SyntheticFuels!$C$4:$C$1000)*1,("Var_Fout"=[1]OUT_SyntheticFuels!$B$4:$B$1000)*1,("LTH"=[1]OUT_SyntheticFuels!$A$4:$A$1000)*1,[1]OUT_SyntheticFuels!J$4:J$1000)</f>
        <v>0</v>
      </c>
    </row>
    <row r="634" spans="2:11" x14ac:dyDescent="0.35">
      <c r="B634" s="5" t="str">
        <f t="shared" si="384"/>
        <v>SPS4</v>
      </c>
      <c r="C634" s="5" t="s">
        <v>7</v>
      </c>
      <c r="D634" t="s">
        <v>913</v>
      </c>
      <c r="E634" s="5" t="s">
        <v>8</v>
      </c>
      <c r="F634" s="1">
        <f>SUM(F635:F638)</f>
        <v>0</v>
      </c>
      <c r="G634" s="1">
        <f t="shared" ref="G634" si="391">SUM(G635:G638)</f>
        <v>0</v>
      </c>
      <c r="H634" s="1">
        <f t="shared" ref="H634" si="392">SUM(H635:H638)</f>
        <v>0</v>
      </c>
      <c r="I634" s="1">
        <f t="shared" ref="I634" si="393">SUM(I635:I638)</f>
        <v>0</v>
      </c>
      <c r="J634" s="1">
        <f t="shared" ref="J634" si="394">SUM(J635:J638)</f>
        <v>0</v>
      </c>
      <c r="K634" s="1">
        <f t="shared" ref="K634" si="395">SUM(K635:K638)</f>
        <v>0</v>
      </c>
    </row>
    <row r="635" spans="2:11" x14ac:dyDescent="0.35">
      <c r="B635" s="5" t="str">
        <f t="shared" si="384"/>
        <v>SPS4</v>
      </c>
      <c r="C635" s="5" t="s">
        <v>7</v>
      </c>
      <c r="D635" t="s">
        <v>338</v>
      </c>
      <c r="E635" s="5" t="s">
        <v>8</v>
      </c>
      <c r="F635" s="1" cm="1">
        <f t="array" ref="F635">SUMPRODUCT(("SUP_WSTBIO"=[1]OUT_SyntheticFuels!$C$4:$C$1000)*1,("LTH"=[1]OUT_SyntheticFuels!$A$4:$A$1000)*1,("Var_Fout"=[1]OUT_SyntheticFuels!$B$4:$B$1000)*1,[1]OUT_SyntheticFuels!E$4:E$1000)</f>
        <v>0</v>
      </c>
      <c r="G635" s="1" cm="1">
        <f t="array" ref="G635">SUMPRODUCT(("SUP_WSTBIO"=[1]OUT_SyntheticFuels!$C$4:$C$1000)*1,("LTH"=[1]OUT_SyntheticFuels!$A$4:$A$1000)*1,("Var_Fout"=[1]OUT_SyntheticFuels!$B$4:$B$1000)*1,[1]OUT_SyntheticFuels!F$4:F$1000)</f>
        <v>0</v>
      </c>
      <c r="H635" s="1" cm="1">
        <f t="array" ref="H635">SUMPRODUCT(("SUP_WSTBIO"=[1]OUT_SyntheticFuels!$C$4:$C$1000)*1,("LTH"=[1]OUT_SyntheticFuels!$A$4:$A$1000)*1,("Var_Fout"=[1]OUT_SyntheticFuels!$B$4:$B$1000)*1,[1]OUT_SyntheticFuels!G$4:G$1000)</f>
        <v>0</v>
      </c>
      <c r="I635" s="1" cm="1">
        <f t="array" ref="I635">SUMPRODUCT(("SUP_WSTBIO"=[1]OUT_SyntheticFuels!$C$4:$C$1000)*1,("LTH"=[1]OUT_SyntheticFuels!$A$4:$A$1000)*1,("Var_Fout"=[1]OUT_SyntheticFuels!$B$4:$B$1000)*1,[1]OUT_SyntheticFuels!H$4:H$1000)</f>
        <v>0</v>
      </c>
      <c r="J635" s="1" cm="1">
        <f t="array" ref="J635">SUMPRODUCT(("SUP_WSTBIO"=[1]OUT_SyntheticFuels!$C$4:$C$1000)*1,("LTH"=[1]OUT_SyntheticFuels!$A$4:$A$1000)*1,("Var_Fout"=[1]OUT_SyntheticFuels!$B$4:$B$1000)*1,[1]OUT_SyntheticFuels!I$4:I$1000)</f>
        <v>0</v>
      </c>
      <c r="K635" s="1" cm="1">
        <f t="array" ref="K635">SUMPRODUCT(("SUP_WSTBIO"=[1]OUT_SyntheticFuels!$C$4:$C$1000)*1,("LTH"=[1]OUT_SyntheticFuels!$A$4:$A$1000)*1,("Var_Fout"=[1]OUT_SyntheticFuels!$B$4:$B$1000)*1,[1]OUT_SyntheticFuels!J$4:J$1000)</f>
        <v>0</v>
      </c>
    </row>
    <row r="636" spans="2:11" x14ac:dyDescent="0.35">
      <c r="B636" s="5" t="str">
        <f t="shared" si="384"/>
        <v>SPS4</v>
      </c>
      <c r="C636" s="5" t="s">
        <v>7</v>
      </c>
      <c r="D636" t="s">
        <v>339</v>
      </c>
      <c r="E636" s="5" t="s">
        <v>8</v>
      </c>
      <c r="F636" s="1" cm="1">
        <f t="array" ref="F636">SUMPRODUCT(("SUP_WSTBIOCCS"=[1]OUT_SyntheticFuels!$C$4:$C$1000)*1,("LTH"=[1]OUT_SyntheticFuels!$A$4:$A$1000)*1,("Var_Fout"=[1]OUT_SyntheticFuels!$B$4:$B$1000)*1,[1]OUT_SyntheticFuels!E$4:E$1000)</f>
        <v>0</v>
      </c>
      <c r="G636" s="1" cm="1">
        <f t="array" ref="G636">SUMPRODUCT(("SUP_WSTBIOCCS"=[1]OUT_SyntheticFuels!$C$4:$C$1000)*1,("LTH"=[1]OUT_SyntheticFuels!$A$4:$A$1000)*1,("Var_Fout"=[1]OUT_SyntheticFuels!$B$4:$B$1000)*1,[1]OUT_SyntheticFuels!F$4:F$1000)</f>
        <v>0</v>
      </c>
      <c r="H636" s="1" cm="1">
        <f t="array" ref="H636">SUMPRODUCT(("SUP_WSTBIOCCS"=[1]OUT_SyntheticFuels!$C$4:$C$1000)*1,("LTH"=[1]OUT_SyntheticFuels!$A$4:$A$1000)*1,("Var_Fout"=[1]OUT_SyntheticFuels!$B$4:$B$1000)*1,[1]OUT_SyntheticFuels!G$4:G$1000)</f>
        <v>0</v>
      </c>
      <c r="I636" s="1" cm="1">
        <f t="array" ref="I636">SUMPRODUCT(("SUP_WSTBIOCCS"=[1]OUT_SyntheticFuels!$C$4:$C$1000)*1,("LTH"=[1]OUT_SyntheticFuels!$A$4:$A$1000)*1,("Var_Fout"=[1]OUT_SyntheticFuels!$B$4:$B$1000)*1,[1]OUT_SyntheticFuels!H$4:H$1000)</f>
        <v>0</v>
      </c>
      <c r="J636" s="1" cm="1">
        <f t="array" ref="J636">SUMPRODUCT(("SUP_WSTBIOCCS"=[1]OUT_SyntheticFuels!$C$4:$C$1000)*1,("LTH"=[1]OUT_SyntheticFuels!$A$4:$A$1000)*1,("Var_Fout"=[1]OUT_SyntheticFuels!$B$4:$B$1000)*1,[1]OUT_SyntheticFuels!I$4:I$1000)</f>
        <v>0</v>
      </c>
      <c r="K636" s="1" cm="1">
        <f t="array" ref="K636">SUMPRODUCT(("SUP_WSTBIOCCS"=[1]OUT_SyntheticFuels!$C$4:$C$1000)*1,("LTH"=[1]OUT_SyntheticFuels!$A$4:$A$1000)*1,("Var_Fout"=[1]OUT_SyntheticFuels!$B$4:$B$1000)*1,[1]OUT_SyntheticFuels!J$4:J$1000)</f>
        <v>0</v>
      </c>
    </row>
    <row r="637" spans="2:11" x14ac:dyDescent="0.35">
      <c r="B637" s="5" t="str">
        <f t="shared" si="384"/>
        <v>SPS4</v>
      </c>
      <c r="C637" s="5" t="s">
        <v>7</v>
      </c>
      <c r="D637" t="s">
        <v>340</v>
      </c>
      <c r="E637" s="5" t="s">
        <v>8</v>
      </c>
      <c r="F637" s="1" cm="1">
        <f t="array" ref="F637">SUMPRODUCT(("SUP_WSTHTGBIO"=[1]OUT_SyntheticFuels!$C$4:$C$1000)*1,("LTH"=[1]OUT_SyntheticFuels!$A$4:$A$1000)*1,("Var_Fout"=[1]OUT_SyntheticFuels!$B$4:$B$1000)*1,[1]OUT_SyntheticFuels!E$4:E$1000)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SUMPRODUCT(("SUP_WSTHTGBIO"=[1]OUT_SyntheticFuels!$C$4:$C$1000)*1,("LTH"=[1]OUT_SyntheticFuels!$A$4:$A$1000)*1,("Var_Fout"=[1]OUT_SyntheticFuels!$B$4:$B$1000)*1,[1]OUT_SyntheticFuels!F$4:F$1000)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SUMPRODUCT(("SUP_WSTHTGBIO"=[1]OUT_SyntheticFuels!$C$4:$C$1000)*1,("LTH"=[1]OUT_SyntheticFuels!$A$4:$A$1000)*1,("Var_Fout"=[1]OUT_SyntheticFuels!$B$4:$B$1000)*1,[1]OUT_SyntheticFuels!G$4:G$1000)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SUMPRODUCT(("SUP_WSTHTGBIO"=[1]OUT_SyntheticFuels!$C$4:$C$1000)*1,("LTH"=[1]OUT_SyntheticFuels!$A$4:$A$1000)*1,("Var_Fout"=[1]OUT_SyntheticFuels!$B$4:$B$1000)*1,[1]OUT_SyntheticFuels!H$4:H$1000)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SUMPRODUCT(("SUP_WSTHTGBIO"=[1]OUT_SyntheticFuels!$C$4:$C$1000)*1,("LTH"=[1]OUT_SyntheticFuels!$A$4:$A$1000)*1,("Var_Fout"=[1]OUT_SyntheticFuels!$B$4:$B$1000)*1,[1]OUT_SyntheticFuels!I$4:I$1000)</f>
        <v>0</v>
      </c>
      <c r="K637" s="1" cm="1">
        <f t="array" ref="K637">SUMPRODUCT(("SUP_WSTHTGBIO"=[1]OUT_SyntheticFuels!$C$4:$C$1000)*1,("LTH"=[1]OUT_SyntheticFuels!$A$4:$A$1000)*1,("Var_Fout"=[1]OUT_SyntheticFuels!$B$4:$B$1000)*1,[1]OUT_SyntheticFuels!J$4:J$1000)</f>
        <v>0</v>
      </c>
    </row>
    <row r="638" spans="2:11" x14ac:dyDescent="0.35">
      <c r="B638" s="5" t="str">
        <f t="shared" si="384"/>
        <v>SPS4</v>
      </c>
      <c r="C638" s="5" t="s">
        <v>7</v>
      </c>
      <c r="D638" t="s">
        <v>341</v>
      </c>
      <c r="E638" s="5" t="s">
        <v>8</v>
      </c>
      <c r="F638" s="1" cm="1">
        <f t="array" ref="F638">SUMPRODUCT(("SUP_WSTHTGBIOCCS"=[1]OUT_SyntheticFuels!$C$4:$C$1000)*1,("LTH"=[1]OUT_SyntheticFuels!$A$4:$A$1000)*1,("Var_Fout"=[1]OUT_SyntheticFuels!$B$4:$B$1000)*1,[1]OUT_SyntheticFuels!E$4:E$1000)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SUMPRODUCT(("SUP_WSTHTGBIOCCS"=[1]OUT_SyntheticFuels!$C$4:$C$1000)*1,("LTH"=[1]OUT_SyntheticFuels!$A$4:$A$1000)*1,("Var_Fout"=[1]OUT_SyntheticFuels!$B$4:$B$1000)*1,[1]OUT_SyntheticFuels!F$4:F$1000)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SUMPRODUCT(("SUP_WSTHTGBIOCCS"=[1]OUT_SyntheticFuels!$C$4:$C$1000)*1,("LTH"=[1]OUT_SyntheticFuels!$A$4:$A$1000)*1,("Var_Fout"=[1]OUT_SyntheticFuels!$B$4:$B$1000)*1,[1]OUT_SyntheticFuels!G$4:G$1000)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SUMPRODUCT(("SUP_WSTHTGBIOCCS"=[1]OUT_SyntheticFuels!$C$4:$C$1000)*1,("LTH"=[1]OUT_SyntheticFuels!$A$4:$A$1000)*1,("Var_Fout"=[1]OUT_SyntheticFuels!$B$4:$B$1000)*1,[1]OUT_SyntheticFuels!H$4:H$1000)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SUMPRODUCT(("SUP_WSTHTGBIOCCS"=[1]OUT_SyntheticFuels!$C$4:$C$1000)*1,("LTH"=[1]OUT_SyntheticFuels!$A$4:$A$1000)*1,("Var_Fout"=[1]OUT_SyntheticFuels!$B$4:$B$1000)*1,[1]OUT_SyntheticFuels!I$4:I$1000)</f>
        <v>0</v>
      </c>
      <c r="K638" s="1" cm="1">
        <f t="array" ref="K638">SUMPRODUCT(("SUP_WSTHTGBIOCCS"=[1]OUT_SyntheticFuels!$C$4:$C$1000)*1,("LTH"=[1]OUT_SyntheticFuels!$A$4:$A$1000)*1,("Var_Fout"=[1]OUT_SyntheticFuels!$B$4:$B$1000)*1,[1]OUT_SyntheticFuels!J$4:J$1000)</f>
        <v>0</v>
      </c>
    </row>
    <row r="639" spans="2:11" x14ac:dyDescent="0.35">
      <c r="B639" s="5" t="str">
        <f t="shared" si="384"/>
        <v>SPS4</v>
      </c>
      <c r="C639" s="5" t="s">
        <v>7</v>
      </c>
      <c r="D639" t="s">
        <v>912</v>
      </c>
      <c r="E639" s="5" t="s">
        <v>8</v>
      </c>
      <c r="F639" s="1">
        <f>SUM(F640:F641)</f>
        <v>0</v>
      </c>
      <c r="G639" s="1">
        <f t="shared" ref="G639" si="396">SUM(G640:G641)</f>
        <v>6.5987384298364531E-6</v>
      </c>
      <c r="H639" s="1">
        <f t="shared" ref="H639" si="397">SUM(H640:H641)</f>
        <v>1.7296469743629243E-5</v>
      </c>
      <c r="I639" s="1">
        <f t="shared" ref="I639" si="398">SUM(I640:I641)</f>
        <v>2.7015438681795304E-5</v>
      </c>
      <c r="J639" s="1">
        <f t="shared" ref="J639" si="399">SUM(J640:J641)</f>
        <v>3.4206679105936034E-5</v>
      </c>
      <c r="K639" s="1">
        <f t="shared" ref="K639" si="400">SUM(K640:K641)</f>
        <v>3.3877652169837199E-5</v>
      </c>
    </row>
    <row r="640" spans="2:11" x14ac:dyDescent="0.35">
      <c r="B640" s="5" t="str">
        <f t="shared" si="384"/>
        <v>SPS4</v>
      </c>
      <c r="C640" s="5" t="s">
        <v>7</v>
      </c>
      <c r="D640" t="s">
        <v>342</v>
      </c>
      <c r="E640" s="5" t="s">
        <v>8</v>
      </c>
      <c r="F640" s="1" cm="1">
        <f t="array" ref="F640">SUMPRODUCT(("SUP_WODBIO"=[1]OUT_SyntheticFuels!$C$4:$C$1000)*1,("LTH"=[1]OUT_SyntheticFuels!$A$4:$A$1000)*1,("Var_Fout"=[1]OUT_SyntheticFuels!$B$4:$B$1000)*1,[1]OUT_SyntheticFuels!E$4:E$1000)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SUMPRODUCT(("SUP_WODBIO"=[1]OUT_SyntheticFuels!$C$4:$C$1000)*1,("LTH"=[1]OUT_SyntheticFuels!$A$4:$A$1000)*1,("Var_Fout"=[1]OUT_SyntheticFuels!$B$4:$B$1000)*1,[1]OUT_SyntheticFuels!F$4:F$1000)</f>
        <v>6.5987384298364531E-6</v>
      </c>
      <c r="H640" s="1" cm="1">
        <f t="array" ref="H640">SUMPRODUCT(("SUP_WODBIO"=[1]OUT_SyntheticFuels!$C$4:$C$1000)*1,("LTH"=[1]OUT_SyntheticFuels!$A$4:$A$1000)*1,("Var_Fout"=[1]OUT_SyntheticFuels!$B$4:$B$1000)*1,[1]OUT_SyntheticFuels!G$4:G$1000)</f>
        <v>1.7296469743629243E-5</v>
      </c>
      <c r="I640" s="1" cm="1">
        <f t="array" ref="I640">SUMPRODUCT(("SUP_WODBIO"=[1]OUT_SyntheticFuels!$C$4:$C$1000)*1,("LTH"=[1]OUT_SyntheticFuels!$A$4:$A$1000)*1,("Var_Fout"=[1]OUT_SyntheticFuels!$B$4:$B$1000)*1,[1]OUT_SyntheticFuels!H$4:H$1000)</f>
        <v>2.7015438681795304E-5</v>
      </c>
      <c r="J640" s="1" cm="1">
        <f t="array" ref="J640">SUMPRODUCT(("SUP_WODBIO"=[1]OUT_SyntheticFuels!$C$4:$C$1000)*1,("LTH"=[1]OUT_SyntheticFuels!$A$4:$A$1000)*1,("Var_Fout"=[1]OUT_SyntheticFuels!$B$4:$B$1000)*1,[1]OUT_SyntheticFuels!I$4:I$1000)</f>
        <v>3.4206679105936034E-5</v>
      </c>
      <c r="K640" s="1" cm="1">
        <f t="array" ref="K640">SUMPRODUCT(("SUP_WODBIO"=[1]OUT_SyntheticFuels!$C$4:$C$1000)*1,("LTH"=[1]OUT_SyntheticFuels!$A$4:$A$1000)*1,("Var_Fout"=[1]OUT_SyntheticFuels!$B$4:$B$1000)*1,[1]OUT_SyntheticFuels!J$4:J$1000)</f>
        <v>3.3877652169837199E-5</v>
      </c>
    </row>
    <row r="641" spans="2:11" x14ac:dyDescent="0.35">
      <c r="B641" s="5" t="str">
        <f t="shared" si="384"/>
        <v>SPS4</v>
      </c>
      <c r="C641" s="5" t="s">
        <v>7</v>
      </c>
      <c r="D641" t="s">
        <v>343</v>
      </c>
      <c r="E641" s="5" t="s">
        <v>8</v>
      </c>
      <c r="F641" s="1" cm="1">
        <f t="array" ref="F641">SUMPRODUCT(("SUP_WODBIOCCS"=[1]OUT_SyntheticFuels!$C$4:$C$1000)*1,("LTH"=[1]OUT_SyntheticFuels!$A$4:$A$1000)*1,("Var_Fout"=[1]OUT_SyntheticFuels!$B$4:$B$1000)*1,[1]OUT_SyntheticFuels!E$4:E$1000)</f>
        <v>0</v>
      </c>
      <c r="G641" s="1" cm="1">
        <f t="array" ref="G641">SUMPRODUCT(("SUP_WODBIOCCS"=[1]OUT_SyntheticFuels!$C$4:$C$1000)*1,("LTH"=[1]OUT_SyntheticFuels!$A$4:$A$1000)*1,("Var_Fout"=[1]OUT_SyntheticFuels!$B$4:$B$1000)*1,[1]OUT_SyntheticFuels!F$4:F$1000)</f>
        <v>0</v>
      </c>
      <c r="H641" s="1" cm="1">
        <f t="array" ref="H641">SUMPRODUCT(("SUP_WODBIOCCS"=[1]OUT_SyntheticFuels!$C$4:$C$1000)*1,("LTH"=[1]OUT_SyntheticFuels!$A$4:$A$1000)*1,("Var_Fout"=[1]OUT_SyntheticFuels!$B$4:$B$1000)*1,[1]OUT_SyntheticFuels!G$4:G$1000)</f>
        <v>0</v>
      </c>
      <c r="I641" s="1" cm="1">
        <f t="array" ref="I641">SUMPRODUCT(("SUP_WODBIOCCS"=[1]OUT_SyntheticFuels!$C$4:$C$1000)*1,("LTH"=[1]OUT_SyntheticFuels!$A$4:$A$1000)*1,("Var_Fout"=[1]OUT_SyntheticFuels!$B$4:$B$1000)*1,[1]OUT_SyntheticFuels!H$4:H$1000)</f>
        <v>0</v>
      </c>
      <c r="J641" s="1" cm="1">
        <f t="array" ref="J641">SUMPRODUCT(("SUP_WODBIOCCS"=[1]OUT_SyntheticFuels!$C$4:$C$1000)*1,("LTH"=[1]OUT_SyntheticFuels!$A$4:$A$1000)*1,("Var_Fout"=[1]OUT_SyntheticFuels!$B$4:$B$1000)*1,[1]OUT_SyntheticFuels!I$4:I$1000)</f>
        <v>0</v>
      </c>
      <c r="K641" s="1" cm="1">
        <f t="array" ref="K641">SUMPRODUCT(("SUP_WODBIOCCS"=[1]OUT_SyntheticFuels!$C$4:$C$1000)*1,("LTH"=[1]OUT_SyntheticFuels!$A$4:$A$1000)*1,("Var_Fout"=[1]OUT_SyntheticFuels!$B$4:$B$1000)*1,[1]OUT_SyntheticFuels!J$4:J$1000)</f>
        <v>0</v>
      </c>
    </row>
    <row r="642" spans="2:11" x14ac:dyDescent="0.35">
      <c r="B642" s="5" t="str">
        <f t="shared" si="384"/>
        <v>SPS4</v>
      </c>
      <c r="C642" s="5" t="s">
        <v>7</v>
      </c>
      <c r="D642" s="2" t="s">
        <v>387</v>
      </c>
      <c r="E642" s="9" t="s">
        <v>8</v>
      </c>
      <c r="F642" s="3">
        <f>F643+F644+F649</f>
        <v>13.477487351937434</v>
      </c>
      <c r="G642" s="3">
        <f t="shared" ref="G642" si="401">G643+G644+G649</f>
        <v>21.433589044331374</v>
      </c>
      <c r="H642" s="3">
        <f t="shared" ref="H642" si="402">H643+H644+H649</f>
        <v>22.906158192952521</v>
      </c>
      <c r="I642" s="3">
        <f t="shared" ref="I642" si="403">I643+I644+I649</f>
        <v>23.232777697665348</v>
      </c>
      <c r="J642" s="3">
        <f t="shared" ref="J642" si="404">J643+J644+J649</f>
        <v>25.027716761728701</v>
      </c>
      <c r="K642" s="3">
        <f t="shared" ref="K642" si="405">K643+K644+K649</f>
        <v>33.718587714694252</v>
      </c>
    </row>
    <row r="643" spans="2:11" x14ac:dyDescent="0.35">
      <c r="B643" s="5" t="str">
        <f t="shared" si="384"/>
        <v>SPS4</v>
      </c>
      <c r="C643" s="5" t="s">
        <v>7</v>
      </c>
      <c r="D643" t="s">
        <v>344</v>
      </c>
      <c r="E643" s="5" t="s">
        <v>8</v>
      </c>
      <c r="F643" s="1" cm="1">
        <f t="array" ref="F643">SUMPRODUCT(("SUP_MNRBIO"=[1]OUT_SyntheticFuels!$C$4:$C$1000)*1,("VAR_FIN"=[1]OUT_SyntheticFuels!$B$4:$B$1000)*1,("MNR"=[1]OUT_SyntheticFuels!$A$4:$A$1000)*1,[1]OUT_SyntheticFuels!E$4:E$1000)</f>
        <v>3.7981060759479917</v>
      </c>
      <c r="G643" s="1" cm="1">
        <f t="array" ref="G643">SUMPRODUCT(("SUP_MNRBIO"=[1]OUT_SyntheticFuels!$C$4:$C$1000)*1,("VAR_FIN"=[1]OUT_SyntheticFuels!$B$4:$B$1000)*1,("MNR"=[1]OUT_SyntheticFuels!$A$4:$A$1000)*1,[1]OUT_SyntheticFuels!F$4:F$1000)</f>
        <v>10.707989460631929</v>
      </c>
      <c r="H643" s="1" cm="1">
        <f t="array" ref="H643">SUMPRODUCT(("SUP_MNRBIO"=[1]OUT_SyntheticFuels!$C$4:$C$1000)*1,("VAR_FIN"=[1]OUT_SyntheticFuels!$B$4:$B$1000)*1,("MNR"=[1]OUT_SyntheticFuels!$A$4:$A$1000)*1,[1]OUT_SyntheticFuels!G$4:G$1000)</f>
        <v>12.540098936358259</v>
      </c>
      <c r="I643" s="1" cm="1">
        <f t="array" ref="I643">SUMPRODUCT(("SUP_MNRBIO"=[1]OUT_SyntheticFuels!$C$4:$C$1000)*1,("VAR_FIN"=[1]OUT_SyntheticFuels!$B$4:$B$1000)*1,("MNR"=[1]OUT_SyntheticFuels!$A$4:$A$1000)*1,[1]OUT_SyntheticFuels!H$4:H$1000)</f>
        <v>12.540426702939271</v>
      </c>
      <c r="J643" s="1" cm="1">
        <f t="array" ref="J643">SUMPRODUCT(("SUP_MNRBIO"=[1]OUT_SyntheticFuels!$C$4:$C$1000)*1,("VAR_FIN"=[1]OUT_SyntheticFuels!$B$4:$B$1000)*1,("MNR"=[1]OUT_SyntheticFuels!$A$4:$A$1000)*1,[1]OUT_SyntheticFuels!I$4:I$1000)</f>
        <v>14.623726710352033</v>
      </c>
      <c r="K643" s="1" cm="1">
        <f t="array" ref="K643">SUMPRODUCT(("SUP_MNRBIO"=[1]OUT_SyntheticFuels!$C$4:$C$1000)*1,("VAR_FIN"=[1]OUT_SyntheticFuels!$B$4:$B$1000)*1,("MNR"=[1]OUT_SyntheticFuels!$A$4:$A$1000)*1,[1]OUT_SyntheticFuels!J$4:J$1000)</f>
        <v>18.811312156095507</v>
      </c>
    </row>
    <row r="644" spans="2:11" x14ac:dyDescent="0.35">
      <c r="B644" s="5" t="str">
        <f t="shared" si="384"/>
        <v>SPS4</v>
      </c>
      <c r="C644" s="5" t="s">
        <v>7</v>
      </c>
      <c r="D644" t="s">
        <v>914</v>
      </c>
      <c r="E644" s="5" t="s">
        <v>8</v>
      </c>
      <c r="F644" s="1">
        <f>SUM(F645:F648)</f>
        <v>9.6793812759894422</v>
      </c>
      <c r="G644" s="1">
        <f t="shared" ref="G644" si="406">SUM(G645:G648)</f>
        <v>10.725525347892107</v>
      </c>
      <c r="H644" s="1">
        <f t="shared" ref="H644" si="407">SUM(H645:H648)</f>
        <v>10.365864671309646</v>
      </c>
      <c r="I644" s="1">
        <f t="shared" ref="I644" si="408">SUM(I645:I648)</f>
        <v>10.692047071040907</v>
      </c>
      <c r="J644" s="1">
        <f t="shared" ref="J644" si="409">SUM(J645:J648)</f>
        <v>10.403605226236724</v>
      </c>
      <c r="K644" s="1">
        <f t="shared" ref="K644" si="410">SUM(K645:K648)</f>
        <v>14.906894435011834</v>
      </c>
    </row>
    <row r="645" spans="2:11" x14ac:dyDescent="0.35">
      <c r="B645" s="5" t="str">
        <f t="shared" si="384"/>
        <v>SPS4</v>
      </c>
      <c r="C645" s="5" t="s">
        <v>7</v>
      </c>
      <c r="D645" t="s">
        <v>345</v>
      </c>
      <c r="E645" s="5" t="s">
        <v>8</v>
      </c>
      <c r="F645" s="1" cm="1">
        <f t="array" ref="F645">SUMPRODUCT(("SUP_WSTBIO"=[1]OUT_SyntheticFuels!$C$4:$C$1000)*1,("CWST"=[1]OUT_SyntheticFuels!$A$4:$A$1000)*1,("VAR_FIN"=[1]OUT_SyntheticFuels!$B$4:$B$1000)*1,[1]OUT_SyntheticFuels!E$4:E$1000)</f>
        <v>9.6793812759894422</v>
      </c>
      <c r="G645" s="1" cm="1">
        <f t="array" ref="G645">SUMPRODUCT(("SUP_WSTBIO"=[1]OUT_SyntheticFuels!$C$4:$C$1000)*1,("CWST"=[1]OUT_SyntheticFuels!$A$4:$A$1000)*1,("VAR_FIN"=[1]OUT_SyntheticFuels!$B$4:$B$1000)*1,[1]OUT_SyntheticFuels!F$4:F$1000)</f>
        <v>10.725525347892107</v>
      </c>
      <c r="H645" s="1" cm="1">
        <f t="array" ref="H645">SUMPRODUCT(("SUP_WSTBIO"=[1]OUT_SyntheticFuels!$C$4:$C$1000)*1,("CWST"=[1]OUT_SyntheticFuels!$A$4:$A$1000)*1,("VAR_FIN"=[1]OUT_SyntheticFuels!$B$4:$B$1000)*1,[1]OUT_SyntheticFuels!G$4:G$1000)</f>
        <v>10.365864671309646</v>
      </c>
      <c r="I645" s="1" cm="1">
        <f t="array" ref="I645">SUMPRODUCT(("SUP_WSTBIO"=[1]OUT_SyntheticFuels!$C$4:$C$1000)*1,("CWST"=[1]OUT_SyntheticFuels!$A$4:$A$1000)*1,("VAR_FIN"=[1]OUT_SyntheticFuels!$B$4:$B$1000)*1,[1]OUT_SyntheticFuels!H$4:H$1000)</f>
        <v>10.692047071040907</v>
      </c>
      <c r="J645" s="1" cm="1">
        <f t="array" ref="J645">SUMPRODUCT(("SUP_WSTBIO"=[1]OUT_SyntheticFuels!$C$4:$C$1000)*1,("CWST"=[1]OUT_SyntheticFuels!$A$4:$A$1000)*1,("VAR_FIN"=[1]OUT_SyntheticFuels!$B$4:$B$1000)*1,[1]OUT_SyntheticFuels!I$4:I$1000)</f>
        <v>10.403100705457648</v>
      </c>
      <c r="K645" s="1" cm="1">
        <f t="array" ref="K645">SUMPRODUCT(("SUP_WSTBIO"=[1]OUT_SyntheticFuels!$C$4:$C$1000)*1,("CWST"=[1]OUT_SyntheticFuels!$A$4:$A$1000)*1,("VAR_FIN"=[1]OUT_SyntheticFuels!$B$4:$B$1000)*1,[1]OUT_SyntheticFuels!J$4:J$1000)</f>
        <v>14.906336342766446</v>
      </c>
    </row>
    <row r="646" spans="2:11" x14ac:dyDescent="0.35">
      <c r="B646" s="5" t="str">
        <f t="shared" si="384"/>
        <v>SPS4</v>
      </c>
      <c r="C646" s="5" t="s">
        <v>7</v>
      </c>
      <c r="D646" t="s">
        <v>346</v>
      </c>
      <c r="E646" s="5" t="s">
        <v>8</v>
      </c>
      <c r="F646" s="1" cm="1">
        <f t="array" ref="F646">SUMPRODUCT(("SUP_WSTBIOCCS"=[1]OUT_SyntheticFuels!$C$4:$C$1000)*1,("CWST"=[1]OUT_SyntheticFuels!$A$4:$A$1000)*1,("VAR_FIN"=[1]OUT_SyntheticFuels!$B$4:$B$1000)*1,[1]OUT_SyntheticFuels!E$4:E$1000)</f>
        <v>0</v>
      </c>
      <c r="G646" s="1" cm="1">
        <f t="array" ref="G646">SUMPRODUCT(("SUP_WSTBIOCCS"=[1]OUT_SyntheticFuels!$C$4:$C$1000)*1,("CWST"=[1]OUT_SyntheticFuels!$A$4:$A$1000)*1,("VAR_FIN"=[1]OUT_SyntheticFuels!$B$4:$B$1000)*1,[1]OUT_SyntheticFuels!F$4:F$1000)</f>
        <v>0</v>
      </c>
      <c r="H646" s="1" cm="1">
        <f t="array" ref="H646">SUMPRODUCT(("SUP_WSTBIOCCS"=[1]OUT_SyntheticFuels!$C$4:$C$1000)*1,("CWST"=[1]OUT_SyntheticFuels!$A$4:$A$1000)*1,("VAR_FIN"=[1]OUT_SyntheticFuels!$B$4:$B$1000)*1,[1]OUT_SyntheticFuels!G$4:G$1000)</f>
        <v>0</v>
      </c>
      <c r="I646" s="1" cm="1">
        <f t="array" ref="I646">SUMPRODUCT(("SUP_WSTBIOCCS"=[1]OUT_SyntheticFuels!$C$4:$C$1000)*1,("CWST"=[1]OUT_SyntheticFuels!$A$4:$A$1000)*1,("VAR_FIN"=[1]OUT_SyntheticFuels!$B$4:$B$1000)*1,[1]OUT_SyntheticFuels!H$4:H$1000)</f>
        <v>0</v>
      </c>
      <c r="J646" s="1" cm="1">
        <f t="array" ref="J646">SUMPRODUCT(("SUP_WSTBIOCCS"=[1]OUT_SyntheticFuels!$C$4:$C$1000)*1,("CWST"=[1]OUT_SyntheticFuels!$A$4:$A$1000)*1,("VAR_FIN"=[1]OUT_SyntheticFuels!$B$4:$B$1000)*1,[1]OUT_SyntheticFuels!I$4:I$1000)</f>
        <v>0</v>
      </c>
      <c r="K646" s="1" cm="1">
        <f t="array" ref="K646">SUMPRODUCT(("SUP_WSTBIOCCS"=[1]OUT_SyntheticFuels!$C$4:$C$1000)*1,("CWST"=[1]OUT_SyntheticFuels!$A$4:$A$1000)*1,("VAR_FIN"=[1]OUT_SyntheticFuels!$B$4:$B$1000)*1,[1]OUT_SyntheticFuels!J$4:J$1000)</f>
        <v>0</v>
      </c>
    </row>
    <row r="647" spans="2:11" x14ac:dyDescent="0.35">
      <c r="B647" s="5" t="str">
        <f t="shared" si="384"/>
        <v>SPS4</v>
      </c>
      <c r="C647" s="5" t="s">
        <v>7</v>
      </c>
      <c r="D647" t="s">
        <v>347</v>
      </c>
      <c r="E647" s="5" t="s">
        <v>8</v>
      </c>
      <c r="F647" s="1" cm="1">
        <f t="array" ref="F647">SUMPRODUCT(("SUP_WSTHTGBIO"=[1]OUT_SyntheticFuels!$C$4:$C$1000)*1,("CWST"=[1]OUT_SyntheticFuels!$A$4:$A$1000)*1,("VAR_FIN"=[1]OUT_SyntheticFuels!$B$4:$B$1000)*1,[1]OUT_SyntheticFuels!E$4:E$1000)</f>
        <v>0</v>
      </c>
      <c r="G647" s="1" cm="1">
        <f t="array" ref="G647">SUMPRODUCT(("SUP_WSTHTGBIO"=[1]OUT_SyntheticFuels!$C$4:$C$1000)*1,("CWST"=[1]OUT_SyntheticFuels!$A$4:$A$1000)*1,("VAR_FIN"=[1]OUT_SyntheticFuels!$B$4:$B$1000)*1,[1]OUT_SyntheticFuels!F$4:F$1000)</f>
        <v>0</v>
      </c>
      <c r="H647" s="1" cm="1">
        <f t="array" ref="H647">SUMPRODUCT(("SUP_WSTHTGBIO"=[1]OUT_SyntheticFuels!$C$4:$C$1000)*1,("CWST"=[1]OUT_SyntheticFuels!$A$4:$A$1000)*1,("VAR_FIN"=[1]OUT_SyntheticFuels!$B$4:$B$1000)*1,[1]OUT_SyntheticFuels!G$4:G$1000)</f>
        <v>0</v>
      </c>
      <c r="I647" s="1" cm="1">
        <f t="array" ref="I647">SUMPRODUCT(("SUP_WSTHTGBIO"=[1]OUT_SyntheticFuels!$C$4:$C$1000)*1,("CWST"=[1]OUT_SyntheticFuels!$A$4:$A$1000)*1,("VAR_FIN"=[1]OUT_SyntheticFuels!$B$4:$B$1000)*1,[1]OUT_SyntheticFuels!H$4:H$1000)</f>
        <v>0</v>
      </c>
      <c r="J647" s="1" cm="1">
        <f t="array" ref="J647">SUMPRODUCT(("SUP_WSTHTGBIO"=[1]OUT_SyntheticFuels!$C$4:$C$1000)*1,("CWST"=[1]OUT_SyntheticFuels!$A$4:$A$1000)*1,("VAR_FIN"=[1]OUT_SyntheticFuels!$B$4:$B$1000)*1,[1]OUT_SyntheticFuels!I$4:I$1000)</f>
        <v>5.0452077907682763E-4</v>
      </c>
      <c r="K647" s="1" cm="1">
        <f t="array" ref="K647">SUMPRODUCT(("SUP_WSTHTGBIO"=[1]OUT_SyntheticFuels!$C$4:$C$1000)*1,("CWST"=[1]OUT_SyntheticFuels!$A$4:$A$1000)*1,("VAR_FIN"=[1]OUT_SyntheticFuels!$B$4:$B$1000)*1,[1]OUT_SyntheticFuels!J$4:J$1000)</f>
        <v>5.5809224538816329E-4</v>
      </c>
    </row>
    <row r="648" spans="2:11" x14ac:dyDescent="0.35">
      <c r="B648" s="5" t="str">
        <f t="shared" si="384"/>
        <v>SPS4</v>
      </c>
      <c r="C648" s="5" t="s">
        <v>7</v>
      </c>
      <c r="D648" t="s">
        <v>348</v>
      </c>
      <c r="E648" s="5" t="s">
        <v>8</v>
      </c>
      <c r="F648" s="1" cm="1">
        <f t="array" ref="F648">SUMPRODUCT(("SUP_WSTHTGBIOCCS"=[1]OUT_SyntheticFuels!$C$4:$C$1000)*1,("CWST"=[1]OUT_SyntheticFuels!$A$4:$A$1000)*1,("VAR_FIN"=[1]OUT_SyntheticFuels!$B$4:$B$1000)*1,[1]OUT_SyntheticFuels!E$4:E$1000)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SUMPRODUCT(("SUP_WSTHTGBIOCCS"=[1]OUT_SyntheticFuels!$C$4:$C$1000)*1,("CWST"=[1]OUT_SyntheticFuels!$A$4:$A$1000)*1,("VAR_FIN"=[1]OUT_SyntheticFuels!$B$4:$B$1000)*1,[1]OUT_SyntheticFuels!F$4:F$1000)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SUMPRODUCT(("SUP_WSTHTGBIOCCS"=[1]OUT_SyntheticFuels!$C$4:$C$1000)*1,("CWST"=[1]OUT_SyntheticFuels!$A$4:$A$1000)*1,("VAR_FIN"=[1]OUT_SyntheticFuels!$B$4:$B$1000)*1,[1]OUT_SyntheticFuels!G$4:G$1000)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SUMPRODUCT(("SUP_WSTHTGBIOCCS"=[1]OUT_SyntheticFuels!$C$4:$C$1000)*1,("CWST"=[1]OUT_SyntheticFuels!$A$4:$A$1000)*1,("VAR_FIN"=[1]OUT_SyntheticFuels!$B$4:$B$1000)*1,[1]OUT_SyntheticFuels!H$4:H$1000)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SUMPRODUCT(("SUP_WSTHTGBIOCCS"=[1]OUT_SyntheticFuels!$C$4:$C$1000)*1,("CWST"=[1]OUT_SyntheticFuels!$A$4:$A$1000)*1,("VAR_FIN"=[1]OUT_SyntheticFuels!$B$4:$B$1000)*1,[1]OUT_SyntheticFuels!I$4:I$1000)</f>
        <v>0</v>
      </c>
      <c r="K648" s="1" cm="1">
        <f t="array" ref="K648">SUMPRODUCT(("SUP_WSTHTGBIOCCS"=[1]OUT_SyntheticFuels!$C$4:$C$1000)*1,("CWST"=[1]OUT_SyntheticFuels!$A$4:$A$1000)*1,("VAR_FIN"=[1]OUT_SyntheticFuels!$B$4:$B$1000)*1,[1]OUT_SyntheticFuels!J$4:J$1000)</f>
        <v>0</v>
      </c>
    </row>
    <row r="649" spans="2:11" x14ac:dyDescent="0.35">
      <c r="B649" s="5" t="str">
        <f t="shared" si="384"/>
        <v>SPS4</v>
      </c>
      <c r="C649" s="5" t="s">
        <v>7</v>
      </c>
      <c r="D649" t="s">
        <v>915</v>
      </c>
      <c r="E649" s="5" t="s">
        <v>8</v>
      </c>
      <c r="F649" s="1">
        <f>SUM(F650:F651)</f>
        <v>0</v>
      </c>
      <c r="G649" s="1">
        <f t="shared" ref="G649" si="411">SUM(G650:G651)</f>
        <v>7.42358073356601E-5</v>
      </c>
      <c r="H649" s="1">
        <f t="shared" ref="H649" si="412">SUM(H650:H651)</f>
        <v>1.9458528461582878E-4</v>
      </c>
      <c r="I649" s="1">
        <f t="shared" ref="I649" si="413">SUM(I650:I651)</f>
        <v>3.0392368517019705E-4</v>
      </c>
      <c r="J649" s="1">
        <f t="shared" ref="J649" si="414">SUM(J650:J651)</f>
        <v>3.8482513994178059E-4</v>
      </c>
      <c r="K649" s="1">
        <f t="shared" ref="K649" si="415">SUM(K650:K651)</f>
        <v>3.8112358691066886E-4</v>
      </c>
    </row>
    <row r="650" spans="2:11" x14ac:dyDescent="0.35">
      <c r="B650" s="5" t="str">
        <f t="shared" si="384"/>
        <v>SPS4</v>
      </c>
      <c r="C650" s="5" t="s">
        <v>7</v>
      </c>
      <c r="D650" t="s">
        <v>349</v>
      </c>
      <c r="E650" s="5" t="s">
        <v>8</v>
      </c>
      <c r="F650" s="1" cm="1">
        <f t="array" ref="F650">SUMPRODUCT(("SUP_WODBIO"=[1]OUT_SyntheticFuels!$C$4:$C$1000)*1,("CWOD"=[1]OUT_SyntheticFuels!$A$4:$A$1000)*1,("VAR_FIN"=[1]OUT_SyntheticFuels!$B$4:$B$1000)*1,[1]OUT_SyntheticFuels!E$4:E$1000)</f>
        <v>0</v>
      </c>
      <c r="G650" s="1" cm="1">
        <f t="array" ref="G650">SUMPRODUCT(("SUP_WODBIO"=[1]OUT_SyntheticFuels!$C$4:$C$1000)*1,("CWOD"=[1]OUT_SyntheticFuels!$A$4:$A$1000)*1,("VAR_FIN"=[1]OUT_SyntheticFuels!$B$4:$B$1000)*1,[1]OUT_SyntheticFuels!F$4:F$1000)</f>
        <v>7.42358073356601E-5</v>
      </c>
      <c r="H650" s="1" cm="1">
        <f t="array" ref="H650">SUMPRODUCT(("SUP_WODBIO"=[1]OUT_SyntheticFuels!$C$4:$C$1000)*1,("CWOD"=[1]OUT_SyntheticFuels!$A$4:$A$1000)*1,("VAR_FIN"=[1]OUT_SyntheticFuels!$B$4:$B$1000)*1,[1]OUT_SyntheticFuels!G$4:G$1000)</f>
        <v>1.9458528461582878E-4</v>
      </c>
      <c r="I650" s="1" cm="1">
        <f t="array" ref="I650">SUMPRODUCT(("SUP_WODBIO"=[1]OUT_SyntheticFuels!$C$4:$C$1000)*1,("CWOD"=[1]OUT_SyntheticFuels!$A$4:$A$1000)*1,("VAR_FIN"=[1]OUT_SyntheticFuels!$B$4:$B$1000)*1,[1]OUT_SyntheticFuels!H$4:H$1000)</f>
        <v>3.0392368517019705E-4</v>
      </c>
      <c r="J650" s="1" cm="1">
        <f t="array" ref="J650">SUMPRODUCT(("SUP_WODBIO"=[1]OUT_SyntheticFuels!$C$4:$C$1000)*1,("CWOD"=[1]OUT_SyntheticFuels!$A$4:$A$1000)*1,("VAR_FIN"=[1]OUT_SyntheticFuels!$B$4:$B$1000)*1,[1]OUT_SyntheticFuels!I$4:I$1000)</f>
        <v>3.8482513994178059E-4</v>
      </c>
      <c r="K650" s="1" cm="1">
        <f t="array" ref="K650">SUMPRODUCT(("SUP_WODBIO"=[1]OUT_SyntheticFuels!$C$4:$C$1000)*1,("CWOD"=[1]OUT_SyntheticFuels!$A$4:$A$1000)*1,("VAR_FIN"=[1]OUT_SyntheticFuels!$B$4:$B$1000)*1,[1]OUT_SyntheticFuels!J$4:J$1000)</f>
        <v>3.8112358691066886E-4</v>
      </c>
    </row>
    <row r="651" spans="2:11" x14ac:dyDescent="0.35">
      <c r="B651" s="5" t="str">
        <f t="shared" si="384"/>
        <v>SPS4</v>
      </c>
      <c r="C651" s="5" t="s">
        <v>7</v>
      </c>
      <c r="D651" t="s">
        <v>350</v>
      </c>
      <c r="E651" s="5" t="s">
        <v>8</v>
      </c>
      <c r="F651" s="1" cm="1">
        <f t="array" ref="F651">SUMPRODUCT(("SUP_WODBIOCCS"=[1]OUT_SyntheticFuels!$C$4:$C$1000)*1,("CWOD"=[1]OUT_SyntheticFuels!$A$4:$A$1000)*1,("VAR_FIN"=[1]OUT_SyntheticFuels!$B$4:$B$1000)*1,[1]OUT_SyntheticFuels!E$4:E$1000)</f>
        <v>0</v>
      </c>
      <c r="G651" s="1" cm="1">
        <f t="array" ref="G651">SUMPRODUCT(("SUP_WODBIOCCS"=[1]OUT_SyntheticFuels!$C$4:$C$1000)*1,("CWOD"=[1]OUT_SyntheticFuels!$A$4:$A$1000)*1,("VAR_FIN"=[1]OUT_SyntheticFuels!$B$4:$B$1000)*1,[1]OUT_SyntheticFuels!F$4:F$1000)</f>
        <v>0</v>
      </c>
      <c r="H651" s="1" cm="1">
        <f t="array" ref="H651">SUMPRODUCT(("SUP_WODBIOCCS"=[1]OUT_SyntheticFuels!$C$4:$C$1000)*1,("CWOD"=[1]OUT_SyntheticFuels!$A$4:$A$1000)*1,("VAR_FIN"=[1]OUT_SyntheticFuels!$B$4:$B$1000)*1,[1]OUT_SyntheticFuels!G$4:G$1000)</f>
        <v>0</v>
      </c>
      <c r="I651" s="1" cm="1">
        <f t="array" ref="I651">SUMPRODUCT(("SUP_WODBIOCCS"=[1]OUT_SyntheticFuels!$C$4:$C$1000)*1,("CWOD"=[1]OUT_SyntheticFuels!$A$4:$A$1000)*1,("VAR_FIN"=[1]OUT_SyntheticFuels!$B$4:$B$1000)*1,[1]OUT_SyntheticFuels!H$4:H$1000)</f>
        <v>0</v>
      </c>
      <c r="J651" s="1" cm="1">
        <f t="array" ref="J651">SUMPRODUCT(("SUP_WODBIOCCS"=[1]OUT_SyntheticFuels!$C$4:$C$1000)*1,("CWOD"=[1]OUT_SyntheticFuels!$A$4:$A$1000)*1,("VAR_FIN"=[1]OUT_SyntheticFuels!$B$4:$B$1000)*1,[1]OUT_SyntheticFuels!I$4:I$1000)</f>
        <v>0</v>
      </c>
      <c r="K651" s="1" cm="1">
        <f t="array" ref="K651">SUMPRODUCT(("SUP_WODBIOCCS"=[1]OUT_SyntheticFuels!$C$4:$C$1000)*1,("CWOD"=[1]OUT_SyntheticFuels!$A$4:$A$1000)*1,("VAR_FIN"=[1]OUT_SyntheticFuels!$B$4:$B$1000)*1,[1]OUT_SyntheticFuels!J$4:J$1000)</f>
        <v>0</v>
      </c>
    </row>
    <row r="652" spans="2:11" x14ac:dyDescent="0.35">
      <c r="B652" s="5" t="str">
        <f t="shared" si="384"/>
        <v>SPS4</v>
      </c>
      <c r="C652" s="5" t="s">
        <v>7</v>
      </c>
      <c r="D652" s="2" t="s">
        <v>388</v>
      </c>
      <c r="E652" s="9" t="s">
        <v>8</v>
      </c>
      <c r="F652" s="14" t="s">
        <v>292</v>
      </c>
      <c r="G652" s="14" t="s">
        <v>292</v>
      </c>
      <c r="H652" s="14" t="s">
        <v>292</v>
      </c>
      <c r="I652" s="14" t="s">
        <v>292</v>
      </c>
      <c r="J652" s="14" t="s">
        <v>292</v>
      </c>
      <c r="K652" s="14" t="s">
        <v>292</v>
      </c>
    </row>
    <row r="653" spans="2:11" x14ac:dyDescent="0.35">
      <c r="B653" s="5" t="str">
        <f t="shared" si="384"/>
        <v>SPS4</v>
      </c>
      <c r="C653" s="5" t="s">
        <v>7</v>
      </c>
      <c r="D653" t="s">
        <v>351</v>
      </c>
      <c r="E653" s="5" t="s">
        <v>8</v>
      </c>
      <c r="F653" s="4">
        <f t="shared" ref="F653:K653" si="416">IFERROR(SUM(F633,F623,F613)/F643,"-")</f>
        <v>0.34965034965034975</v>
      </c>
      <c r="G653" s="4">
        <f t="shared" si="416"/>
        <v>0.3496503496503503</v>
      </c>
      <c r="H653" s="4">
        <f t="shared" si="416"/>
        <v>0.34965034965034991</v>
      </c>
      <c r="I653" s="4">
        <f t="shared" si="416"/>
        <v>0.34965034965034991</v>
      </c>
      <c r="J653" s="4">
        <f t="shared" si="416"/>
        <v>0.34965034965035047</v>
      </c>
      <c r="K653" s="4">
        <f t="shared" si="416"/>
        <v>0.3496503496503498</v>
      </c>
    </row>
    <row r="654" spans="2:11" x14ac:dyDescent="0.35">
      <c r="B654" s="5" t="str">
        <f t="shared" si="384"/>
        <v>SPS4</v>
      </c>
      <c r="C654" s="5" t="s">
        <v>7</v>
      </c>
      <c r="D654" t="s">
        <v>352</v>
      </c>
      <c r="E654" s="5" t="s">
        <v>8</v>
      </c>
      <c r="F654" s="4">
        <f t="shared" ref="F654:K657" si="417">IFERROR(SUM(F635,F625,F615)/F645,"-")</f>
        <v>0.59322033898305104</v>
      </c>
      <c r="G654" s="4">
        <f t="shared" si="417"/>
        <v>0.59322033898305127</v>
      </c>
      <c r="H654" s="4">
        <f t="shared" si="417"/>
        <v>0.59322033898305104</v>
      </c>
      <c r="I654" s="4">
        <f t="shared" si="417"/>
        <v>0.5932203389830506</v>
      </c>
      <c r="J654" s="4">
        <f t="shared" si="417"/>
        <v>0.59322033898305115</v>
      </c>
      <c r="K654" s="4">
        <f t="shared" si="417"/>
        <v>0.5932203389830506</v>
      </c>
    </row>
    <row r="655" spans="2:11" x14ac:dyDescent="0.35">
      <c r="B655" s="5" t="str">
        <f t="shared" si="384"/>
        <v>SPS4</v>
      </c>
      <c r="C655" s="5" t="s">
        <v>7</v>
      </c>
      <c r="D655" t="s">
        <v>353</v>
      </c>
      <c r="E655" s="5" t="s">
        <v>8</v>
      </c>
      <c r="F655" s="4" t="str">
        <f t="shared" si="417"/>
        <v>-</v>
      </c>
      <c r="G655" s="4" t="str">
        <f t="shared" si="417"/>
        <v>-</v>
      </c>
      <c r="H655" s="4" t="str">
        <f t="shared" si="417"/>
        <v>-</v>
      </c>
      <c r="I655" s="4" t="str">
        <f t="shared" si="417"/>
        <v>-</v>
      </c>
      <c r="J655" s="4" t="str">
        <f t="shared" si="417"/>
        <v>-</v>
      </c>
      <c r="K655" s="4" t="str">
        <f t="shared" si="417"/>
        <v>-</v>
      </c>
    </row>
    <row r="656" spans="2:11" x14ac:dyDescent="0.35">
      <c r="B656" s="5" t="str">
        <f t="shared" si="384"/>
        <v>SPS4</v>
      </c>
      <c r="C656" s="5" t="s">
        <v>7</v>
      </c>
      <c r="D656" t="s">
        <v>354</v>
      </c>
      <c r="E656" s="5" t="s">
        <v>8</v>
      </c>
      <c r="F656" s="4" t="str">
        <f t="shared" si="417"/>
        <v>-</v>
      </c>
      <c r="G656" s="4" t="str">
        <f t="shared" si="417"/>
        <v>-</v>
      </c>
      <c r="H656" s="4" t="str">
        <f t="shared" si="417"/>
        <v>-</v>
      </c>
      <c r="I656" s="4" t="str">
        <f t="shared" si="417"/>
        <v>-</v>
      </c>
      <c r="J656" s="4">
        <f t="shared" si="417"/>
        <v>0.69999999999999962</v>
      </c>
      <c r="K656" s="4">
        <f t="shared" si="417"/>
        <v>0.70000000000000084</v>
      </c>
    </row>
    <row r="657" spans="2:11" x14ac:dyDescent="0.35">
      <c r="B657" s="5" t="str">
        <f t="shared" si="384"/>
        <v>SPS4</v>
      </c>
      <c r="C657" s="5" t="s">
        <v>7</v>
      </c>
      <c r="D657" t="s">
        <v>355</v>
      </c>
      <c r="E657" s="5" t="s">
        <v>8</v>
      </c>
      <c r="F657" s="4" t="str">
        <f t="shared" si="417"/>
        <v>-</v>
      </c>
      <c r="G657" s="4" t="str">
        <f t="shared" si="417"/>
        <v>-</v>
      </c>
      <c r="H657" s="4" t="str">
        <f t="shared" si="417"/>
        <v>-</v>
      </c>
      <c r="I657" s="4" t="str">
        <f t="shared" si="417"/>
        <v>-</v>
      </c>
      <c r="J657" s="4" t="str">
        <f t="shared" si="417"/>
        <v>-</v>
      </c>
      <c r="K657" s="4" t="str">
        <f t="shared" si="417"/>
        <v>-</v>
      </c>
    </row>
    <row r="658" spans="2:11" x14ac:dyDescent="0.35">
      <c r="B658" s="5" t="str">
        <f t="shared" si="384"/>
        <v>SPS4</v>
      </c>
      <c r="C658" s="5" t="s">
        <v>7</v>
      </c>
      <c r="D658" t="s">
        <v>356</v>
      </c>
      <c r="E658" s="5" t="s">
        <v>8</v>
      </c>
      <c r="F658" s="4" t="str">
        <f t="shared" ref="F658:K659" si="418">IFERROR(SUM(F640,F630,F620)/F650,"-")</f>
        <v>-</v>
      </c>
      <c r="G658" s="4">
        <f t="shared" si="418"/>
        <v>0.82962962962962972</v>
      </c>
      <c r="H658" s="4">
        <f t="shared" si="418"/>
        <v>0.8592592592592595</v>
      </c>
      <c r="I658" s="4">
        <f t="shared" si="418"/>
        <v>0.8592592592592595</v>
      </c>
      <c r="J658" s="4">
        <f t="shared" si="418"/>
        <v>0.85925925925925917</v>
      </c>
      <c r="K658" s="4">
        <f t="shared" si="418"/>
        <v>0.85925925925925772</v>
      </c>
    </row>
    <row r="659" spans="2:11" x14ac:dyDescent="0.35">
      <c r="B659" s="5" t="str">
        <f t="shared" si="384"/>
        <v>SPS4</v>
      </c>
      <c r="C659" s="5" t="s">
        <v>7</v>
      </c>
      <c r="D659" t="s">
        <v>357</v>
      </c>
      <c r="E659" s="5" t="s">
        <v>8</v>
      </c>
      <c r="F659" s="4" t="str">
        <f t="shared" si="418"/>
        <v>-</v>
      </c>
      <c r="G659" s="4" t="str">
        <f t="shared" si="418"/>
        <v>-</v>
      </c>
      <c r="H659" s="4" t="str">
        <f t="shared" si="418"/>
        <v>-</v>
      </c>
      <c r="I659" s="4" t="str">
        <f t="shared" si="418"/>
        <v>-</v>
      </c>
      <c r="J659" s="4" t="str">
        <f t="shared" si="418"/>
        <v>-</v>
      </c>
      <c r="K659" s="4" t="str">
        <f t="shared" si="418"/>
        <v>-</v>
      </c>
    </row>
    <row r="660" spans="2:11" x14ac:dyDescent="0.35">
      <c r="B660" s="9" t="str">
        <f t="shared" si="384"/>
        <v>SPS4</v>
      </c>
      <c r="C660" s="9" t="s">
        <v>7</v>
      </c>
      <c r="D660" s="2" t="s">
        <v>390</v>
      </c>
      <c r="E660" s="9" t="s">
        <v>8</v>
      </c>
      <c r="F660" s="3">
        <f>SUM(F661,F665,F674)</f>
        <v>3.3306472444687169E-3</v>
      </c>
      <c r="G660" s="3">
        <f t="shared" ref="G660:K660" si="419">SUM(G661,G665,G674)</f>
        <v>4.9774838042227834E-3</v>
      </c>
      <c r="H660" s="3">
        <f t="shared" si="419"/>
        <v>8.1758005713241429E-3</v>
      </c>
      <c r="I660" s="3">
        <f t="shared" si="419"/>
        <v>2.4577788798139613E-2</v>
      </c>
      <c r="J660" s="3">
        <f t="shared" si="419"/>
        <v>0.20772707046391972</v>
      </c>
      <c r="K660" s="3">
        <f t="shared" si="419"/>
        <v>0.20899908913769419</v>
      </c>
    </row>
    <row r="661" spans="2:11" x14ac:dyDescent="0.35">
      <c r="B661" t="str">
        <f t="shared" si="384"/>
        <v>SPS4</v>
      </c>
      <c r="C661" t="str">
        <f>C660</f>
        <v>CH</v>
      </c>
      <c r="D661" t="s">
        <v>916</v>
      </c>
      <c r="E661" s="5" t="s">
        <v>8</v>
      </c>
      <c r="F661" s="1">
        <f>[1]Other_transformation!B$28</f>
        <v>3.3306472444687169E-3</v>
      </c>
      <c r="G661" s="1">
        <f>[1]Other_transformation!C$28</f>
        <v>4.9774838042227834E-3</v>
      </c>
      <c r="H661" s="1">
        <f>[1]Other_transformation!D$28</f>
        <v>8.1758005713241429E-3</v>
      </c>
      <c r="I661" s="1">
        <f>[1]Other_transformation!E$28</f>
        <v>2.4577788798139613E-2</v>
      </c>
      <c r="J661" s="1">
        <f>[1]Other_transformation!F$28</f>
        <v>0.20772707046391972</v>
      </c>
      <c r="K661" s="1">
        <f>[1]Other_transformation!G$28</f>
        <v>0.20773504638436749</v>
      </c>
    </row>
    <row r="662" spans="2:11" x14ac:dyDescent="0.35">
      <c r="B662" t="str">
        <f t="shared" si="384"/>
        <v>SPS4</v>
      </c>
      <c r="C662" t="str">
        <f t="shared" ref="C662:C673" si="420">C661</f>
        <v>CH</v>
      </c>
      <c r="D662" t="s">
        <v>403</v>
      </c>
      <c r="E662" s="5" t="s">
        <v>8</v>
      </c>
      <c r="F662" s="1" cm="1">
        <f t="array" ref="F662">SUMPRODUCT(("SUP_ELCH2"=[1]OUT_SyntheticFuels!$C$4:$C$1000)*1,ISNUMBER(SEARCH("h2",[1]OUT_SyntheticFuels!$A$4:$A$1000))*1,("Var_Fout"=[1]OUT_SyntheticFuels!$B$4:$B$1000)*1,[1]OUT_SyntheticFuels!E$4:E$1000)</f>
        <v>3.3306472444687169E-3</v>
      </c>
      <c r="G662" s="1" cm="1">
        <f t="array" ref="G662">SUMPRODUCT(("SUP_ELCH2"=[1]OUT_SyntheticFuels!$C$4:$C$1000)*1,ISNUMBER(SEARCH("h2",[1]OUT_SyntheticFuels!$A$4:$A$1000))*1,("Var_Fout"=[1]OUT_SyntheticFuels!$B$4:$B$1000)*1,[1]OUT_SyntheticFuels!F$4:F$1000)</f>
        <v>4.9774838042227834E-3</v>
      </c>
      <c r="H662" s="1" cm="1">
        <f t="array" ref="H662">SUMPRODUCT(("SUP_ELCH2"=[1]OUT_SyntheticFuels!$C$4:$C$1000)*1,ISNUMBER(SEARCH("h2",[1]OUT_SyntheticFuels!$A$4:$A$1000))*1,("Var_Fout"=[1]OUT_SyntheticFuels!$B$4:$B$1000)*1,[1]OUT_SyntheticFuels!G$4:G$1000)</f>
        <v>8.1758005713241429E-3</v>
      </c>
      <c r="I662" s="1" cm="1">
        <f t="array" ref="I662">SUMPRODUCT(("SUP_ELCH2"=[1]OUT_SyntheticFuels!$C$4:$C$1000)*1,ISNUMBER(SEARCH("h2",[1]OUT_SyntheticFuels!$A$4:$A$1000))*1,("Var_Fout"=[1]OUT_SyntheticFuels!$B$4:$B$1000)*1,[1]OUT_SyntheticFuels!H$4:H$1000)</f>
        <v>2.4576467129580795E-2</v>
      </c>
      <c r="J662" s="1" cm="1">
        <f t="array" ref="J662">SUMPRODUCT(("SUP_ELCH2"=[1]OUT_SyntheticFuels!$C$4:$C$1000)*1,ISNUMBER(SEARCH("h2",[1]OUT_SyntheticFuels!$A$4:$A$1000))*1,("Var_Fout"=[1]OUT_SyntheticFuels!$B$4:$B$1000)*1,[1]OUT_SyntheticFuels!I$4:I$1000)</f>
        <v>0.2040983807633317</v>
      </c>
      <c r="K662" s="1" cm="1">
        <f t="array" ref="K662">SUMPRODUCT(("SUP_ELCH2"=[1]OUT_SyntheticFuels!$C$4:$C$1000)*1,ISNUMBER(SEARCH("h2",[1]OUT_SyntheticFuels!$A$4:$A$1000))*1,("Var_Fout"=[1]OUT_SyntheticFuels!$B$4:$B$1000)*1,[1]OUT_SyntheticFuels!J$4:J$1000)</f>
        <v>0.20397383618222609</v>
      </c>
    </row>
    <row r="663" spans="2:11" x14ac:dyDescent="0.35">
      <c r="B663" t="str">
        <f t="shared" si="384"/>
        <v>SPS4</v>
      </c>
      <c r="C663" t="str">
        <f t="shared" ref="C663" si="421">C662</f>
        <v>CH</v>
      </c>
      <c r="D663" t="s">
        <v>402</v>
      </c>
      <c r="E663" s="5" t="s">
        <v>8</v>
      </c>
      <c r="F663" s="1" cm="1">
        <f t="array" ref="F663">SUMPRODUCT(("SUP_ELCH2_D"=[1]OUT_SyntheticFuels!$C$4:$C$1000)*1,ISNUMBER(SEARCH("h2",[1]OUT_SyntheticFuels!$A$4:$A$1000))*1,("Var_Fout"=[1]OUT_SyntheticFuels!$B$4:$B$1000)*1,[1]OUT_SyntheticFuels!E$4:E$1000)</f>
        <v>0</v>
      </c>
      <c r="G663" s="1" cm="1">
        <f t="array" ref="G663">SUMPRODUCT(("SUP_ELCH2_D"=[1]OUT_SyntheticFuels!$C$4:$C$1000)*1,ISNUMBER(SEARCH("h2",[1]OUT_SyntheticFuels!$A$4:$A$1000))*1,("Var_Fout"=[1]OUT_SyntheticFuels!$B$4:$B$1000)*1,[1]OUT_SyntheticFuels!F$4:F$1000)</f>
        <v>0</v>
      </c>
      <c r="H663" s="1" cm="1">
        <f t="array" ref="H663">SUMPRODUCT(("SUP_ELCH2_D"=[1]OUT_SyntheticFuels!$C$4:$C$1000)*1,ISNUMBER(SEARCH("h2",[1]OUT_SyntheticFuels!$A$4:$A$1000))*1,("Var_Fout"=[1]OUT_SyntheticFuels!$B$4:$B$1000)*1,[1]OUT_SyntheticFuels!G$4:G$1000)</f>
        <v>0</v>
      </c>
      <c r="I663" s="1" cm="1">
        <f t="array" ref="I663">SUMPRODUCT(("SUP_ELCH2_D"=[1]OUT_SyntheticFuels!$C$4:$C$1000)*1,ISNUMBER(SEARCH("h2",[1]OUT_SyntheticFuels!$A$4:$A$1000))*1,("Var_Fout"=[1]OUT_SyntheticFuels!$B$4:$B$1000)*1,[1]OUT_SyntheticFuels!H$4:H$1000)</f>
        <v>1.3216685588187349E-6</v>
      </c>
      <c r="J663" s="1" cm="1">
        <f t="array" ref="J663">SUMPRODUCT(("SUP_ELCH2_D"=[1]OUT_SyntheticFuels!$C$4:$C$1000)*1,ISNUMBER(SEARCH("h2",[1]OUT_SyntheticFuels!$A$4:$A$1000))*1,("Var_Fout"=[1]OUT_SyntheticFuels!$B$4:$B$1000)*1,[1]OUT_SyntheticFuels!I$4:I$1000)</f>
        <v>1.1718613934280377E-3</v>
      </c>
      <c r="K663" s="1" cm="1">
        <f t="array" ref="K663">SUMPRODUCT(("SUP_ELCH2_D"=[1]OUT_SyntheticFuels!$C$4:$C$1000)*1,ISNUMBER(SEARCH("h2",[1]OUT_SyntheticFuels!$A$4:$A$1000))*1,("Var_Fout"=[1]OUT_SyntheticFuels!$B$4:$B$1000)*1,[1]OUT_SyntheticFuels!J$4:J$1000)</f>
        <v>1.4792575957353084E-3</v>
      </c>
    </row>
    <row r="664" spans="2:11" x14ac:dyDescent="0.35">
      <c r="B664" t="str">
        <f t="shared" si="384"/>
        <v>SPS4</v>
      </c>
      <c r="C664" t="str">
        <f>C662</f>
        <v>CH</v>
      </c>
      <c r="D664" t="s">
        <v>391</v>
      </c>
      <c r="E664" s="5" t="s">
        <v>8</v>
      </c>
      <c r="F664" s="1" cm="1">
        <f t="array" ref="F664">SUMPRODUCT(("SUP_ELCH2_SOEC"=[1]OUT_SyntheticFuels!$C$4:$C$1000)*1,ISNUMBER(SEARCH("H2",[1]OUT_SyntheticFuels!$A$4:$A$1000))*1,("Var_Fout"=[1]OUT_SyntheticFuels!$B$4:$B$1000)*1,[1]OUT_SyntheticFuels!E$4:E$1000)</f>
        <v>0</v>
      </c>
      <c r="G664" s="1" cm="1">
        <f t="array" ref="G664">SUMPRODUCT(("SUP_ELCH2_SOEC"=[1]OUT_SyntheticFuels!$C$4:$C$1000)*1,ISNUMBER(SEARCH("H2",[1]OUT_SyntheticFuels!$A$4:$A$1000))*1,("Var_Fout"=[1]OUT_SyntheticFuels!$B$4:$B$1000)*1,[1]OUT_SyntheticFuels!F$4:F$1000)</f>
        <v>0</v>
      </c>
      <c r="H664" s="1" cm="1">
        <f t="array" ref="H664">SUMPRODUCT(("SUP_ELCH2_SOEC"=[1]OUT_SyntheticFuels!$C$4:$C$1000)*1,ISNUMBER(SEARCH("H2",[1]OUT_SyntheticFuels!$A$4:$A$1000))*1,("Var_Fout"=[1]OUT_SyntheticFuels!$B$4:$B$1000)*1,[1]OUT_SyntheticFuels!G$4:G$1000)</f>
        <v>0</v>
      </c>
      <c r="I664" s="1" cm="1">
        <f t="array" ref="I664">SUMPRODUCT(("SUP_ELCH2_SOEC"=[1]OUT_SyntheticFuels!$C$4:$C$1000)*1,ISNUMBER(SEARCH("H2",[1]OUT_SyntheticFuels!$A$4:$A$1000))*1,("Var_Fout"=[1]OUT_SyntheticFuels!$B$4:$B$1000)*1,[1]OUT_SyntheticFuels!H$4:H$1000)</f>
        <v>0</v>
      </c>
      <c r="J664" s="1" cm="1">
        <f t="array" ref="J664">SUMPRODUCT(("SUP_ELCH2_SOEC"=[1]OUT_SyntheticFuels!$C$4:$C$1000)*1,ISNUMBER(SEARCH("H2",[1]OUT_SyntheticFuels!$A$4:$A$1000))*1,("Var_Fout"=[1]OUT_SyntheticFuels!$B$4:$B$1000)*1,[1]OUT_SyntheticFuels!I$4:I$1000)</f>
        <v>2.4568283071599731E-3</v>
      </c>
      <c r="K664" s="1" cm="1">
        <f t="array" ref="K664">SUMPRODUCT(("SUP_ELCH2_SOEC"=[1]OUT_SyntheticFuels!$C$4:$C$1000)*1,ISNUMBER(SEARCH("H2",[1]OUT_SyntheticFuels!$A$4:$A$1000))*1,("Var_Fout"=[1]OUT_SyntheticFuels!$B$4:$B$1000)*1,[1]OUT_SyntheticFuels!J$4:J$1000)</f>
        <v>2.2819526064060988E-3</v>
      </c>
    </row>
    <row r="665" spans="2:11" x14ac:dyDescent="0.35">
      <c r="B665" t="str">
        <f t="shared" si="384"/>
        <v>SPS4</v>
      </c>
      <c r="C665" t="str">
        <f t="shared" si="420"/>
        <v>CH</v>
      </c>
      <c r="D665" t="s">
        <v>917</v>
      </c>
      <c r="E665" s="5" t="s">
        <v>8</v>
      </c>
      <c r="F665" s="1">
        <f>SUM([1]Other_transformation!B$29:B$30)</f>
        <v>0</v>
      </c>
      <c r="G665" s="1">
        <f>SUM([1]Other_transformation!C$29:C$30)</f>
        <v>0</v>
      </c>
      <c r="H665" s="1">
        <f>SUM([1]Other_transformation!D$29:D$30)</f>
        <v>0</v>
      </c>
      <c r="I665" s="1">
        <f>SUM([1]Other_transformation!E$29:E$30)</f>
        <v>0</v>
      </c>
      <c r="J665" s="1">
        <f>SUM([1]Other_transformation!F$29:F$30)</f>
        <v>0</v>
      </c>
      <c r="K665" s="1">
        <f>SUM([1]Other_transformation!G$29:G$30)</f>
        <v>9.0216915396956797E-4</v>
      </c>
    </row>
    <row r="666" spans="2:11" x14ac:dyDescent="0.35">
      <c r="B666" t="str">
        <f t="shared" si="384"/>
        <v>SPS4</v>
      </c>
      <c r="C666" t="str">
        <f t="shared" si="420"/>
        <v>CH</v>
      </c>
      <c r="D666" t="s">
        <v>392</v>
      </c>
      <c r="E666" s="5" t="s">
        <v>8</v>
      </c>
      <c r="F666" s="1">
        <f>[1]Other_transformation!B$29</f>
        <v>0</v>
      </c>
      <c r="G666" s="1">
        <f>[1]Other_transformation!C$29</f>
        <v>0</v>
      </c>
      <c r="H666" s="1">
        <f>[1]Other_transformation!D$29</f>
        <v>0</v>
      </c>
      <c r="I666" s="1">
        <f>[1]Other_transformation!E$29</f>
        <v>0</v>
      </c>
      <c r="J666" s="1">
        <f>[1]Other_transformation!F$29</f>
        <v>0</v>
      </c>
      <c r="K666" s="1">
        <f>[1]Other_transformation!G$29</f>
        <v>9.0216915396956797E-4</v>
      </c>
    </row>
    <row r="667" spans="2:11" x14ac:dyDescent="0.35">
      <c r="B667" t="str">
        <f t="shared" si="384"/>
        <v>SPS4</v>
      </c>
      <c r="C667" t="str">
        <f t="shared" si="420"/>
        <v>CH</v>
      </c>
      <c r="D667" t="s">
        <v>393</v>
      </c>
      <c r="E667" s="5" t="s">
        <v>8</v>
      </c>
      <c r="F667" s="1">
        <f>[1]Other_transformation!B$30</f>
        <v>0</v>
      </c>
      <c r="G667" s="1">
        <f>[1]Other_transformation!C$30</f>
        <v>0</v>
      </c>
      <c r="H667" s="1">
        <f>[1]Other_transformation!D$30</f>
        <v>0</v>
      </c>
      <c r="I667" s="1">
        <f>[1]Other_transformation!E$30</f>
        <v>0</v>
      </c>
      <c r="J667" s="1">
        <f>[1]Other_transformation!F$30</f>
        <v>0</v>
      </c>
      <c r="K667" s="1">
        <f>[1]Other_transformation!G$30</f>
        <v>0</v>
      </c>
    </row>
    <row r="668" spans="2:11" x14ac:dyDescent="0.35">
      <c r="B668" t="str">
        <f t="shared" si="384"/>
        <v>SPS4</v>
      </c>
      <c r="C668" t="str">
        <f t="shared" si="420"/>
        <v>CH</v>
      </c>
      <c r="D668" t="s">
        <v>918</v>
      </c>
      <c r="E668" s="5" t="s">
        <v>8</v>
      </c>
      <c r="F668" s="1">
        <f>F665-F671</f>
        <v>0</v>
      </c>
      <c r="G668" s="1">
        <f t="shared" ref="G668:K668" si="422">G665-G671</f>
        <v>0</v>
      </c>
      <c r="H668" s="1">
        <f t="shared" si="422"/>
        <v>0</v>
      </c>
      <c r="I668" s="1">
        <f t="shared" si="422"/>
        <v>0</v>
      </c>
      <c r="J668" s="1">
        <f t="shared" si="422"/>
        <v>0</v>
      </c>
      <c r="K668" s="1">
        <f t="shared" si="422"/>
        <v>0</v>
      </c>
    </row>
    <row r="669" spans="2:11" x14ac:dyDescent="0.35">
      <c r="B669" t="str">
        <f t="shared" si="384"/>
        <v>SPS4</v>
      </c>
      <c r="C669" t="str">
        <f t="shared" si="420"/>
        <v>CH</v>
      </c>
      <c r="D669" t="s">
        <v>607</v>
      </c>
      <c r="E669" s="5" t="s">
        <v>8</v>
      </c>
      <c r="F669" s="1">
        <f t="shared" ref="F669:K669" si="423">F666-F672</f>
        <v>0</v>
      </c>
      <c r="G669" s="1">
        <f t="shared" si="423"/>
        <v>0</v>
      </c>
      <c r="H669" s="1">
        <f t="shared" si="423"/>
        <v>0</v>
      </c>
      <c r="I669" s="1">
        <f t="shared" si="423"/>
        <v>0</v>
      </c>
      <c r="J669" s="1">
        <f t="shared" si="423"/>
        <v>0</v>
      </c>
      <c r="K669" s="1">
        <f t="shared" si="423"/>
        <v>0</v>
      </c>
    </row>
    <row r="670" spans="2:11" x14ac:dyDescent="0.35">
      <c r="B670" t="str">
        <f t="shared" si="384"/>
        <v>SPS4</v>
      </c>
      <c r="C670" t="str">
        <f t="shared" si="420"/>
        <v>CH</v>
      </c>
      <c r="D670" t="s">
        <v>608</v>
      </c>
      <c r="E670" s="5" t="s">
        <v>8</v>
      </c>
      <c r="F670" s="1">
        <f t="shared" ref="F670:K670" si="424">F667-F673</f>
        <v>0</v>
      </c>
      <c r="G670" s="1">
        <f t="shared" si="424"/>
        <v>0</v>
      </c>
      <c r="H670" s="1">
        <f t="shared" si="424"/>
        <v>0</v>
      </c>
      <c r="I670" s="1">
        <f t="shared" si="424"/>
        <v>0</v>
      </c>
      <c r="J670" s="1">
        <f t="shared" si="424"/>
        <v>0</v>
      </c>
      <c r="K670" s="1">
        <f t="shared" si="424"/>
        <v>0</v>
      </c>
    </row>
    <row r="671" spans="2:11" x14ac:dyDescent="0.35">
      <c r="B671" t="str">
        <f t="shared" si="384"/>
        <v>SPS4</v>
      </c>
      <c r="C671" t="str">
        <f t="shared" si="420"/>
        <v>CH</v>
      </c>
      <c r="D671" t="s">
        <v>919</v>
      </c>
      <c r="E671" s="5" t="s">
        <v>8</v>
      </c>
      <c r="F671" s="1">
        <f>SUM(F672:F673)</f>
        <v>0</v>
      </c>
      <c r="G671" s="1">
        <f t="shared" ref="G671:K671" si="425">SUM(G672:G673)</f>
        <v>0</v>
      </c>
      <c r="H671" s="1">
        <f t="shared" si="425"/>
        <v>0</v>
      </c>
      <c r="I671" s="1">
        <f t="shared" si="425"/>
        <v>0</v>
      </c>
      <c r="J671" s="1">
        <f t="shared" si="425"/>
        <v>0</v>
      </c>
      <c r="K671" s="1">
        <f t="shared" si="425"/>
        <v>9.0216915396956797E-4</v>
      </c>
    </row>
    <row r="672" spans="2:11" x14ac:dyDescent="0.35">
      <c r="B672" t="str">
        <f t="shared" si="384"/>
        <v>SPS4</v>
      </c>
      <c r="C672" t="str">
        <f t="shared" si="420"/>
        <v>CH</v>
      </c>
      <c r="D672" t="s">
        <v>668</v>
      </c>
      <c r="E672" s="5" t="s">
        <v>8</v>
      </c>
      <c r="F672" s="1">
        <f>IFERROR([1]Energy_Balances!B$157/([1]Energy_Balances!B$157+[1]Energy_Balances!B$72),0)*F666</f>
        <v>0</v>
      </c>
      <c r="G672" s="1">
        <f>IFERROR([1]Energy_Balances!C$157/([1]Energy_Balances!C$157+[1]Energy_Balances!C$72),0)*G666</f>
        <v>0</v>
      </c>
      <c r="H672" s="1">
        <f>IFERROR([1]Energy_Balances!D$157/([1]Energy_Balances!D$157+[1]Energy_Balances!D$72),0)*H666</f>
        <v>0</v>
      </c>
      <c r="I672" s="1">
        <f>IFERROR([1]Energy_Balances!E$157/([1]Energy_Balances!E$157+[1]Energy_Balances!E$72),0)*I666</f>
        <v>0</v>
      </c>
      <c r="J672" s="1">
        <f>IFERROR([1]Energy_Balances!F$157/([1]Energy_Balances!F$157+[1]Energy_Balances!F$72),0)*J666</f>
        <v>0</v>
      </c>
      <c r="K672" s="1">
        <f>IFERROR([1]Energy_Balances!G$157/([1]Energy_Balances!G$157+[1]Energy_Balances!G$72),0)*K666</f>
        <v>9.0216915396956797E-4</v>
      </c>
    </row>
    <row r="673" spans="2:11" x14ac:dyDescent="0.35">
      <c r="B673" t="str">
        <f t="shared" si="384"/>
        <v>SPS4</v>
      </c>
      <c r="C673" t="str">
        <f t="shared" si="420"/>
        <v>CH</v>
      </c>
      <c r="D673" t="s">
        <v>669</v>
      </c>
      <c r="E673" s="5" t="s">
        <v>8</v>
      </c>
      <c r="F673" s="1">
        <f>IFERROR([1]Energy_Balances!B$157/([1]Energy_Balances!B$157+[1]Energy_Balances!B$72),0)*F667</f>
        <v>0</v>
      </c>
      <c r="G673" s="1">
        <f>IFERROR([1]Energy_Balances!C$157/([1]Energy_Balances!C$157+[1]Energy_Balances!C$72),0)*G667</f>
        <v>0</v>
      </c>
      <c r="H673" s="1">
        <f>IFERROR([1]Energy_Balances!D$157/([1]Energy_Balances!D$157+[1]Energy_Balances!D$72),0)*H667</f>
        <v>0</v>
      </c>
      <c r="I673" s="1">
        <f>IFERROR([1]Energy_Balances!E$157/([1]Energy_Balances!E$157+[1]Energy_Balances!E$72),0)*I667</f>
        <v>0</v>
      </c>
      <c r="J673" s="1">
        <f>IFERROR([1]Energy_Balances!F$157/([1]Energy_Balances!F$157+[1]Energy_Balances!F$72),0)*J667</f>
        <v>0</v>
      </c>
      <c r="K673" s="1">
        <f>IFERROR([1]Energy_Balances!G$157/([1]Energy_Balances!G$157+[1]Energy_Balances!G$72),0)*K667</f>
        <v>0</v>
      </c>
    </row>
    <row r="674" spans="2:11" x14ac:dyDescent="0.35">
      <c r="B674" t="str">
        <f t="shared" si="384"/>
        <v>SPS4</v>
      </c>
      <c r="C674" t="str">
        <f t="shared" ref="C674:C676" si="426">C673</f>
        <v>CH</v>
      </c>
      <c r="D674" t="s">
        <v>920</v>
      </c>
      <c r="E674" s="5" t="s">
        <v>8</v>
      </c>
      <c r="F674" s="1">
        <f>SUM(F675:F676)</f>
        <v>0</v>
      </c>
      <c r="G674" s="1">
        <f t="shared" ref="G674:K674" si="427">SUM(G675:G676)</f>
        <v>0</v>
      </c>
      <c r="H674" s="1">
        <f t="shared" si="427"/>
        <v>0</v>
      </c>
      <c r="I674" s="1">
        <f t="shared" si="427"/>
        <v>0</v>
      </c>
      <c r="J674" s="1">
        <f t="shared" si="427"/>
        <v>0</v>
      </c>
      <c r="K674" s="1">
        <f t="shared" si="427"/>
        <v>3.6187359935713881E-4</v>
      </c>
    </row>
    <row r="675" spans="2:11" x14ac:dyDescent="0.35">
      <c r="B675" t="str">
        <f t="shared" si="384"/>
        <v>SPS4</v>
      </c>
      <c r="C675" t="str">
        <f t="shared" si="426"/>
        <v>CH</v>
      </c>
      <c r="D675" t="s">
        <v>394</v>
      </c>
      <c r="E675" s="5" t="s">
        <v>8</v>
      </c>
      <c r="F675" s="1">
        <f>[1]Other_transformation!B31</f>
        <v>0</v>
      </c>
      <c r="G675" s="1">
        <f>[1]Other_transformation!C31</f>
        <v>0</v>
      </c>
      <c r="H675" s="1">
        <f>[1]Other_transformation!D31</f>
        <v>0</v>
      </c>
      <c r="I675" s="1">
        <f>[1]Other_transformation!E31</f>
        <v>0</v>
      </c>
      <c r="J675" s="1">
        <f>[1]Other_transformation!F31</f>
        <v>0</v>
      </c>
      <c r="K675" s="1">
        <f>[1]Other_transformation!G31</f>
        <v>3.6187359935713881E-4</v>
      </c>
    </row>
    <row r="676" spans="2:11" x14ac:dyDescent="0.35">
      <c r="B676" t="str">
        <f t="shared" si="384"/>
        <v>SPS4</v>
      </c>
      <c r="C676" t="str">
        <f t="shared" si="426"/>
        <v>CH</v>
      </c>
      <c r="D676" t="s">
        <v>395</v>
      </c>
      <c r="E676" s="5" t="s">
        <v>8</v>
      </c>
      <c r="F676" s="1">
        <f>[1]Other_transformation!B32</f>
        <v>0</v>
      </c>
      <c r="G676" s="1">
        <f>[1]Other_transformation!C32</f>
        <v>0</v>
      </c>
      <c r="H676" s="1">
        <f>[1]Other_transformation!D32</f>
        <v>0</v>
      </c>
      <c r="I676" s="1">
        <f>[1]Other_transformation!E32</f>
        <v>0</v>
      </c>
      <c r="J676" s="1">
        <f>[1]Other_transformation!F32</f>
        <v>0</v>
      </c>
      <c r="K676" s="1">
        <f>[1]Other_transformation!G32</f>
        <v>0</v>
      </c>
    </row>
    <row r="677" spans="2:11" x14ac:dyDescent="0.35">
      <c r="B677" s="9" t="str">
        <f t="shared" si="384"/>
        <v>SPS4</v>
      </c>
      <c r="C677" s="9" t="s">
        <v>7</v>
      </c>
      <c r="D677" s="2" t="s">
        <v>406</v>
      </c>
      <c r="E677" s="9" t="s">
        <v>8</v>
      </c>
      <c r="F677" s="3">
        <f>SUM(F678,F682,F684,F693)</f>
        <v>4.8622587510492189E-3</v>
      </c>
      <c r="G677" s="3">
        <f t="shared" ref="G677:K677" si="428">SUM(G678,G682,G684,G693)</f>
        <v>7.1721668648743265E-3</v>
      </c>
      <c r="H677" s="3">
        <f t="shared" si="428"/>
        <v>1.1555901867595959E-2</v>
      </c>
      <c r="I677" s="3">
        <f t="shared" si="428"/>
        <v>3.3668203833067949E-2</v>
      </c>
      <c r="J677" s="3">
        <f t="shared" si="428"/>
        <v>0.26768876917231049</v>
      </c>
      <c r="K677" s="3">
        <f t="shared" si="428"/>
        <v>0.25487824362563571</v>
      </c>
    </row>
    <row r="678" spans="2:11" x14ac:dyDescent="0.35">
      <c r="B678" t="str">
        <f t="shared" si="384"/>
        <v>SPS4</v>
      </c>
      <c r="C678" t="str">
        <f>C677</f>
        <v>CH</v>
      </c>
      <c r="D678" t="s">
        <v>921</v>
      </c>
      <c r="E678" s="5" t="s">
        <v>8</v>
      </c>
      <c r="F678" s="1">
        <f>SUM(F679:F681)</f>
        <v>4.8622587510492189E-3</v>
      </c>
      <c r="G678" s="1">
        <f t="shared" ref="G678:K678" si="429">SUM(G679:G681)</f>
        <v>7.1721668648743265E-3</v>
      </c>
      <c r="H678" s="1">
        <f t="shared" si="429"/>
        <v>1.1555901867595959E-2</v>
      </c>
      <c r="I678" s="1">
        <f t="shared" si="429"/>
        <v>3.3668203833067949E-2</v>
      </c>
      <c r="J678" s="1">
        <f t="shared" si="429"/>
        <v>0.26732165689652798</v>
      </c>
      <c r="K678" s="1">
        <f t="shared" si="429"/>
        <v>0.25283450599416402</v>
      </c>
    </row>
    <row r="679" spans="2:11" x14ac:dyDescent="0.35">
      <c r="B679" t="str">
        <f t="shared" si="384"/>
        <v>SPS4</v>
      </c>
      <c r="C679" t="str">
        <f t="shared" ref="C679:C695" si="430">C678</f>
        <v>CH</v>
      </c>
      <c r="D679" t="s">
        <v>404</v>
      </c>
      <c r="E679" s="5" t="s">
        <v>8</v>
      </c>
      <c r="F679" s="1" cm="1">
        <f t="array" ref="F679">SUMPRODUCT(("SUP_ELCH2"=[1]OUT_SyntheticFuels!$C$4:$C$1000)*1,ISNUMBER(SEARCH("ELC",[1]OUT_SyntheticFuels!$A$4:$A$1000))*1,("Var_Fin"=[1]OUT_SyntheticFuels!$B$4:$B$1000)*1,[1]OUT_SyntheticFuels!E$4:E$1000)</f>
        <v>4.8622587510492189E-3</v>
      </c>
      <c r="G679" s="1" cm="1">
        <f t="array" ref="G679">SUMPRODUCT(("SUP_ELCH2"=[1]OUT_SyntheticFuels!$C$4:$C$1000)*1,ISNUMBER(SEARCH("ELC",[1]OUT_SyntheticFuels!$A$4:$A$1000))*1,("Var_Fin"=[1]OUT_SyntheticFuels!$B$4:$B$1000)*1,[1]OUT_SyntheticFuels!F$4:F$1000)</f>
        <v>7.1721668648743265E-3</v>
      </c>
      <c r="H679" s="1" cm="1">
        <f t="array" ref="H679">SUMPRODUCT(("SUP_ELCH2"=[1]OUT_SyntheticFuels!$C$4:$C$1000)*1,ISNUMBER(SEARCH("ELC",[1]OUT_SyntheticFuels!$A$4:$A$1000))*1,("Var_Fin"=[1]OUT_SyntheticFuels!$B$4:$B$1000)*1,[1]OUT_SyntheticFuels!G$4:G$1000)</f>
        <v>1.1555901867595959E-2</v>
      </c>
      <c r="I679" s="1" cm="1">
        <f t="array" ref="I679">SUMPRODUCT(("SUP_ELCH2"=[1]OUT_SyntheticFuels!$C$4:$C$1000)*1,ISNUMBER(SEARCH("ELC",[1]OUT_SyntheticFuels!$A$4:$A$1000))*1,("Var_Fin"=[1]OUT_SyntheticFuels!$B$4:$B$1000)*1,[1]OUT_SyntheticFuels!H$4:H$1000)</f>
        <v>3.3666393328192858E-2</v>
      </c>
      <c r="J679" s="1" cm="1">
        <f t="array" ref="J679">SUMPRODUCT(("SUP_ELCH2"=[1]OUT_SyntheticFuels!$C$4:$C$1000)*1,ISNUMBER(SEARCH("ELC",[1]OUT_SyntheticFuels!$A$4:$A$1000))*1,("Var_Fin"=[1]OUT_SyntheticFuels!$B$4:$B$1000)*1,[1]OUT_SyntheticFuels!I$4:I$1000)</f>
        <v>0.26335274937204151</v>
      </c>
      <c r="K679" s="1" cm="1">
        <f t="array" ref="K679">SUMPRODUCT(("SUP_ELCH2"=[1]OUT_SyntheticFuels!$C$4:$C$1000)*1,ISNUMBER(SEARCH("ELC",[1]OUT_SyntheticFuels!$A$4:$A$1000))*1,("Var_Fin"=[1]OUT_SyntheticFuels!$B$4:$B$1000)*1,[1]OUT_SyntheticFuels!J$4:J$1000)</f>
        <v>0.24874858071003189</v>
      </c>
    </row>
    <row r="680" spans="2:11" x14ac:dyDescent="0.35">
      <c r="B680" t="str">
        <f t="shared" si="384"/>
        <v>SPS4</v>
      </c>
      <c r="C680" t="str">
        <f t="shared" ref="C680" si="431">C679</f>
        <v>CH</v>
      </c>
      <c r="D680" t="s">
        <v>405</v>
      </c>
      <c r="E680" s="5" t="s">
        <v>8</v>
      </c>
      <c r="F680" s="1" cm="1">
        <f t="array" ref="F680">SUMPRODUCT(("SUP_ELCH2_D"=[1]OUT_SyntheticFuels!$C$4:$C$1000)*1,ISNUMBER(SEARCH("ELC",[1]OUT_SyntheticFuels!$A$4:$A$1000))*1,("Var_Fin"=[1]OUT_SyntheticFuels!$B$4:$B$1000)*1,[1]OUT_SyntheticFuels!E$4:E$1000)</f>
        <v>0</v>
      </c>
      <c r="G680" s="1" cm="1">
        <f t="array" ref="G680">SUMPRODUCT(("SUP_ELCH2_D"=[1]OUT_SyntheticFuels!$C$4:$C$1000)*1,ISNUMBER(SEARCH("ELC",[1]OUT_SyntheticFuels!$A$4:$A$1000))*1,("Var_Fin"=[1]OUT_SyntheticFuels!$B$4:$B$1000)*1,[1]OUT_SyntheticFuels!F$4:F$1000)</f>
        <v>0</v>
      </c>
      <c r="H680" s="1" cm="1">
        <f t="array" ref="H680">SUMPRODUCT(("SUP_ELCH2_D"=[1]OUT_SyntheticFuels!$C$4:$C$1000)*1,ISNUMBER(SEARCH("ELC",[1]OUT_SyntheticFuels!$A$4:$A$1000))*1,("Var_Fin"=[1]OUT_SyntheticFuels!$B$4:$B$1000)*1,[1]OUT_SyntheticFuels!G$4:G$1000)</f>
        <v>0</v>
      </c>
      <c r="I680" s="1" cm="1">
        <f t="array" ref="I680">SUMPRODUCT(("SUP_ELCH2_D"=[1]OUT_SyntheticFuels!$C$4:$C$1000)*1,ISNUMBER(SEARCH("ELC",[1]OUT_SyntheticFuels!$A$4:$A$1000))*1,("Var_Fin"=[1]OUT_SyntheticFuels!$B$4:$B$1000)*1,[1]OUT_SyntheticFuels!H$4:H$1000)</f>
        <v>1.8105048750941577E-6</v>
      </c>
      <c r="J680" s="1" cm="1">
        <f t="array" ref="J680">SUMPRODUCT(("SUP_ELCH2_D"=[1]OUT_SyntheticFuels!$C$4:$C$1000)*1,ISNUMBER(SEARCH("ELC",[1]OUT_SyntheticFuels!$A$4:$A$1000))*1,("Var_Fin"=[1]OUT_SyntheticFuels!$B$4:$B$1000)*1,[1]OUT_SyntheticFuels!I$4:I$1000)</f>
        <v>1.5120792173265003E-3</v>
      </c>
      <c r="K680" s="1" cm="1">
        <f t="array" ref="K680">SUMPRODUCT(("SUP_ELCH2_D"=[1]OUT_SyntheticFuels!$C$4:$C$1000)*1,ISNUMBER(SEARCH("ELC",[1]OUT_SyntheticFuels!$A$4:$A$1000))*1,("Var_Fin"=[1]OUT_SyntheticFuels!$B$4:$B$1000)*1,[1]OUT_SyntheticFuels!J$4:J$1000)</f>
        <v>1.8039726777259865E-3</v>
      </c>
    </row>
    <row r="681" spans="2:11" x14ac:dyDescent="0.35">
      <c r="B681" t="str">
        <f t="shared" si="384"/>
        <v>SPS4</v>
      </c>
      <c r="C681" t="str">
        <f>C679</f>
        <v>CH</v>
      </c>
      <c r="D681" t="s">
        <v>396</v>
      </c>
      <c r="E681" s="5" t="s">
        <v>8</v>
      </c>
      <c r="F681" s="1" cm="1">
        <f t="array" ref="F681">SUMPRODUCT(("SUP_ELCH2_SOEC"=[1]OUT_SyntheticFuels!$C$4:$C$1000)*1,ISNUMBER(SEARCH("ELC",[1]OUT_SyntheticFuels!$A$4:$A$1000))*1,("Var_Fin"=[1]OUT_SyntheticFuels!$B$4:$B$1000)*1,[1]OUT_SyntheticFuels!E$4:E$1000)</f>
        <v>0</v>
      </c>
      <c r="G681" s="1" cm="1">
        <f t="array" ref="G681">SUMPRODUCT(("SUP_ELCH2_SOEC"=[1]OUT_SyntheticFuels!$C$4:$C$1000)*1,ISNUMBER(SEARCH("ELC",[1]OUT_SyntheticFuels!$A$4:$A$1000))*1,("Var_Fin"=[1]OUT_SyntheticFuels!$B$4:$B$1000)*1,[1]OUT_SyntheticFuels!F$4:F$1000)</f>
        <v>0</v>
      </c>
      <c r="H681" s="1" cm="1">
        <f t="array" ref="H681">SUMPRODUCT(("SUP_ELCH2_SOEC"=[1]OUT_SyntheticFuels!$C$4:$C$1000)*1,ISNUMBER(SEARCH("ELC",[1]OUT_SyntheticFuels!$A$4:$A$1000))*1,("Var_Fin"=[1]OUT_SyntheticFuels!$B$4:$B$1000)*1,[1]OUT_SyntheticFuels!G$4:G$1000)</f>
        <v>0</v>
      </c>
      <c r="I681" s="1" cm="1">
        <f t="array" ref="I681">SUMPRODUCT(("SUP_ELCH2_SOEC"=[1]OUT_SyntheticFuels!$C$4:$C$1000)*1,ISNUMBER(SEARCH("ELC",[1]OUT_SyntheticFuels!$A$4:$A$1000))*1,("Var_Fin"=[1]OUT_SyntheticFuels!$B$4:$B$1000)*1,[1]OUT_SyntheticFuels!H$4:H$1000)</f>
        <v>0</v>
      </c>
      <c r="J681" s="1" cm="1">
        <f t="array" ref="J681">SUMPRODUCT(("SUP_ELCH2_SOEC"=[1]OUT_SyntheticFuels!$C$4:$C$1000)*1,ISNUMBER(SEARCH("ELC",[1]OUT_SyntheticFuels!$A$4:$A$1000))*1,("Var_Fin"=[1]OUT_SyntheticFuels!$B$4:$B$1000)*1,[1]OUT_SyntheticFuels!I$4:I$1000)</f>
        <v>2.4568283071599731E-3</v>
      </c>
      <c r="K681" s="1" cm="1">
        <f t="array" ref="K681">SUMPRODUCT(("SUP_ELCH2_SOEC"=[1]OUT_SyntheticFuels!$C$4:$C$1000)*1,ISNUMBER(SEARCH("ELC",[1]OUT_SyntheticFuels!$A$4:$A$1000))*1,("Var_Fin"=[1]OUT_SyntheticFuels!$B$4:$B$1000)*1,[1]OUT_SyntheticFuels!J$4:J$1000)</f>
        <v>2.2819526064060988E-3</v>
      </c>
    </row>
    <row r="682" spans="2:11" x14ac:dyDescent="0.35">
      <c r="B682" t="str">
        <f t="shared" si="384"/>
        <v>SPS4</v>
      </c>
      <c r="C682" t="str">
        <f t="shared" ref="C682:C683" si="432">C681</f>
        <v>CH</v>
      </c>
      <c r="D682" t="s">
        <v>922</v>
      </c>
      <c r="E682" s="5" t="s">
        <v>8</v>
      </c>
      <c r="F682" s="1">
        <f>F683</f>
        <v>0</v>
      </c>
      <c r="G682" s="1">
        <f t="shared" ref="G682:K682" si="433">G683</f>
        <v>0</v>
      </c>
      <c r="H682" s="1">
        <f t="shared" si="433"/>
        <v>0</v>
      </c>
      <c r="I682" s="1">
        <f t="shared" si="433"/>
        <v>0</v>
      </c>
      <c r="J682" s="1">
        <f t="shared" si="433"/>
        <v>3.6711227578252475E-4</v>
      </c>
      <c r="K682" s="1">
        <f t="shared" si="433"/>
        <v>2.5355028960067711E-4</v>
      </c>
    </row>
    <row r="683" spans="2:11" x14ac:dyDescent="0.35">
      <c r="B683" t="str">
        <f t="shared" si="384"/>
        <v>SPS4</v>
      </c>
      <c r="C683" t="str">
        <f t="shared" si="432"/>
        <v>CH</v>
      </c>
      <c r="D683" t="s">
        <v>401</v>
      </c>
      <c r="E683" s="5" t="s">
        <v>8</v>
      </c>
      <c r="F683" s="1" cm="1">
        <f t="array" ref="F683">SUMPRODUCT(("SUP_ELCH2_SOEC"=[1]OUT_SyntheticFuels!$C$4:$C$1000)*1,ISNUMBER(SEARCH("CHEAT",[1]OUT_SyntheticFuels!$A$4:$A$1000))*1,("Var_Fin"=[1]OUT_SyntheticFuels!$B$4:$B$1000)*1,[1]OUT_SyntheticFuels!E$4:E$1000)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SUMPRODUCT(("SUP_ELCH2_SOEC"=[1]OUT_SyntheticFuels!$C$4:$C$1000)*1,ISNUMBER(SEARCH("CHEAT",[1]OUT_SyntheticFuels!$A$4:$A$1000))*1,("Var_Fin"=[1]OUT_SyntheticFuels!$B$4:$B$1000)*1,[1]OUT_SyntheticFuels!F$4:F$1000)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SUMPRODUCT(("SUP_ELCH2_SOEC"=[1]OUT_SyntheticFuels!$C$4:$C$1000)*1,ISNUMBER(SEARCH("CHEAT",[1]OUT_SyntheticFuels!$A$4:$A$1000))*1,("Var_Fin"=[1]OUT_SyntheticFuels!$B$4:$B$1000)*1,[1]OUT_SyntheticFuels!G$4:G$1000)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SUMPRODUCT(("SUP_ELCH2_SOEC"=[1]OUT_SyntheticFuels!$C$4:$C$1000)*1,ISNUMBER(SEARCH("CHEAT",[1]OUT_SyntheticFuels!$A$4:$A$1000))*1,("Var_Fin"=[1]OUT_SyntheticFuels!$B$4:$B$1000)*1,[1]OUT_SyntheticFuels!H$4:H$1000)</f>
        <v>0</v>
      </c>
      <c r="J683" s="1" cm="1">
        <f t="array" ref="J683">SUMPRODUCT(("SUP_ELCH2_SOEC"=[1]OUT_SyntheticFuels!$C$4:$C$1000)*1,ISNUMBER(SEARCH("CHEAT",[1]OUT_SyntheticFuels!$A$4:$A$1000))*1,("Var_Fin"=[1]OUT_SyntheticFuels!$B$4:$B$1000)*1,[1]OUT_SyntheticFuels!I$4:I$1000)</f>
        <v>3.6711227578252475E-4</v>
      </c>
      <c r="K683" s="1" cm="1">
        <f t="array" ref="K683">SUMPRODUCT(("SUP_ELCH2_SOEC"=[1]OUT_SyntheticFuels!$C$4:$C$1000)*1,ISNUMBER(SEARCH("CHEAT",[1]OUT_SyntheticFuels!$A$4:$A$1000))*1,("Var_Fin"=[1]OUT_SyntheticFuels!$B$4:$B$1000)*1,[1]OUT_SyntheticFuels!J$4:J$1000)</f>
        <v>2.5355028960067711E-4</v>
      </c>
    </row>
    <row r="684" spans="2:11" x14ac:dyDescent="0.35">
      <c r="B684" t="str">
        <f t="shared" si="384"/>
        <v>SPS4</v>
      </c>
      <c r="C684" t="str">
        <f>C681</f>
        <v>CH</v>
      </c>
      <c r="D684" t="s">
        <v>923</v>
      </c>
      <c r="E684" s="5" t="s">
        <v>8</v>
      </c>
      <c r="F684" s="1">
        <f>SUM(F685:F686)</f>
        <v>0</v>
      </c>
      <c r="G684" s="1">
        <f t="shared" ref="G684:K684" si="434">SUM(G685:G686)</f>
        <v>0</v>
      </c>
      <c r="H684" s="1">
        <f t="shared" si="434"/>
        <v>0</v>
      </c>
      <c r="I684" s="1">
        <f t="shared" si="434"/>
        <v>0</v>
      </c>
      <c r="J684" s="1">
        <f t="shared" si="434"/>
        <v>0</v>
      </c>
      <c r="K684" s="1">
        <f t="shared" si="434"/>
        <v>1.187064676275747E-3</v>
      </c>
    </row>
    <row r="685" spans="2:11" x14ac:dyDescent="0.35">
      <c r="B685" t="str">
        <f t="shared" si="384"/>
        <v>SPS4</v>
      </c>
      <c r="C685" t="str">
        <f t="shared" si="430"/>
        <v>CH</v>
      </c>
      <c r="D685" t="s">
        <v>397</v>
      </c>
      <c r="E685" s="5" t="s">
        <v>8</v>
      </c>
      <c r="F685" s="1" cm="1">
        <f t="array" ref="F685">SUMPRODUCT(("SUP_ngaH2"=[1]OUT_SyntheticFuels!$C$4:$C$1000)*1,ISNUMBER(SEARCH("nga",[1]OUT_SyntheticFuels!$A$4:$A$1000))*1,("Var_Fin"=[1]OUT_SyntheticFuels!$B$4:$B$1000)*1,[1]OUT_SyntheticFuels!E$4:E$1000)</f>
        <v>0</v>
      </c>
      <c r="G685" s="1" cm="1">
        <f t="array" ref="G685">SUMPRODUCT(("SUP_ngaH2"=[1]OUT_SyntheticFuels!$C$4:$C$1000)*1,ISNUMBER(SEARCH("nga",[1]OUT_SyntheticFuels!$A$4:$A$1000))*1,("Var_Fin"=[1]OUT_SyntheticFuels!$B$4:$B$1000)*1,[1]OUT_SyntheticFuels!F$4:F$1000)</f>
        <v>0</v>
      </c>
      <c r="H685" s="1" cm="1">
        <f t="array" ref="H685">SUMPRODUCT(("SUP_ngaH2"=[1]OUT_SyntheticFuels!$C$4:$C$1000)*1,ISNUMBER(SEARCH("nga",[1]OUT_SyntheticFuels!$A$4:$A$1000))*1,("Var_Fin"=[1]OUT_SyntheticFuels!$B$4:$B$1000)*1,[1]OUT_SyntheticFuels!G$4:G$1000)</f>
        <v>0</v>
      </c>
      <c r="I685" s="1" cm="1">
        <f t="array" ref="I685">SUMPRODUCT(("SUP_ngaH2"=[1]OUT_SyntheticFuels!$C$4:$C$1000)*1,ISNUMBER(SEARCH("nga",[1]OUT_SyntheticFuels!$A$4:$A$1000))*1,("Var_Fin"=[1]OUT_SyntheticFuels!$B$4:$B$1000)*1,[1]OUT_SyntheticFuels!H$4:H$1000)</f>
        <v>0</v>
      </c>
      <c r="J685" s="1" cm="1">
        <f t="array" ref="J685">SUMPRODUCT(("SUP_ngaH2"=[1]OUT_SyntheticFuels!$C$4:$C$1000)*1,ISNUMBER(SEARCH("nga",[1]OUT_SyntheticFuels!$A$4:$A$1000))*1,("Var_Fin"=[1]OUT_SyntheticFuels!$B$4:$B$1000)*1,[1]OUT_SyntheticFuels!I$4:I$1000)</f>
        <v>0</v>
      </c>
      <c r="K685" s="1" cm="1">
        <f t="array" ref="K685">SUMPRODUCT(("SUP_ngaH2"=[1]OUT_SyntheticFuels!$C$4:$C$1000)*1,ISNUMBER(SEARCH("nga",[1]OUT_SyntheticFuels!$A$4:$A$1000))*1,("Var_Fin"=[1]OUT_SyntheticFuels!$B$4:$B$1000)*1,[1]OUT_SyntheticFuels!J$4:J$1000)</f>
        <v>1.187064676275747E-3</v>
      </c>
    </row>
    <row r="686" spans="2:11" x14ac:dyDescent="0.35">
      <c r="B686" t="str">
        <f t="shared" si="384"/>
        <v>SPS4</v>
      </c>
      <c r="C686" t="str">
        <f t="shared" si="430"/>
        <v>CH</v>
      </c>
      <c r="D686" t="s">
        <v>398</v>
      </c>
      <c r="E686" s="5" t="s">
        <v>8</v>
      </c>
      <c r="F686" s="1" cm="1">
        <f t="array" ref="F686">SUMPRODUCT(("SUP_ngaH2ccs"=[1]OUT_SyntheticFuels!$C$4:$C$1000)*1,ISNUMBER(SEARCH("nga",[1]OUT_SyntheticFuels!$A$4:$A$1000))*1,("Var_Fin"=[1]OUT_SyntheticFuels!$B$4:$B$1000)*1,[1]OUT_SyntheticFuels!E$4:E$1000)</f>
        <v>0</v>
      </c>
      <c r="G686" s="1" cm="1">
        <f t="array" ref="G686">SUMPRODUCT(("SUP_ngaH2ccs"=[1]OUT_SyntheticFuels!$C$4:$C$1000)*1,ISNUMBER(SEARCH("nga",[1]OUT_SyntheticFuels!$A$4:$A$1000))*1,("Var_Fin"=[1]OUT_SyntheticFuels!$B$4:$B$1000)*1,[1]OUT_SyntheticFuels!F$4:F$1000)</f>
        <v>0</v>
      </c>
      <c r="H686" s="1" cm="1">
        <f t="array" ref="H686">SUMPRODUCT(("SUP_ngaH2ccs"=[1]OUT_SyntheticFuels!$C$4:$C$1000)*1,ISNUMBER(SEARCH("nga",[1]OUT_SyntheticFuels!$A$4:$A$1000))*1,("Var_Fin"=[1]OUT_SyntheticFuels!$B$4:$B$1000)*1,[1]OUT_SyntheticFuels!G$4:G$1000)</f>
        <v>0</v>
      </c>
      <c r="I686" s="1" cm="1">
        <f t="array" ref="I686">SUMPRODUCT(("SUP_ngaH2ccs"=[1]OUT_SyntheticFuels!$C$4:$C$1000)*1,ISNUMBER(SEARCH("nga",[1]OUT_SyntheticFuels!$A$4:$A$1000))*1,("Var_Fin"=[1]OUT_SyntheticFuels!$B$4:$B$1000)*1,[1]OUT_SyntheticFuels!H$4:H$1000)</f>
        <v>0</v>
      </c>
      <c r="J686" s="1" cm="1">
        <f t="array" ref="J686">SUMPRODUCT(("SUP_ngaH2ccs"=[1]OUT_SyntheticFuels!$C$4:$C$1000)*1,ISNUMBER(SEARCH("nga",[1]OUT_SyntheticFuels!$A$4:$A$1000))*1,("Var_Fin"=[1]OUT_SyntheticFuels!$B$4:$B$1000)*1,[1]OUT_SyntheticFuels!I$4:I$1000)</f>
        <v>0</v>
      </c>
      <c r="K686" s="1" cm="1">
        <f t="array" ref="K686">SUMPRODUCT(("SUP_ngaH2ccs"=[1]OUT_SyntheticFuels!$C$4:$C$1000)*1,ISNUMBER(SEARCH("nga",[1]OUT_SyntheticFuels!$A$4:$A$1000))*1,("Var_Fin"=[1]OUT_SyntheticFuels!$B$4:$B$1000)*1,[1]OUT_SyntheticFuels!J$4:J$1000)</f>
        <v>0</v>
      </c>
    </row>
    <row r="687" spans="2:11" x14ac:dyDescent="0.35">
      <c r="B687" t="str">
        <f t="shared" si="384"/>
        <v>SPS4</v>
      </c>
      <c r="C687" t="str">
        <f t="shared" si="430"/>
        <v>CH</v>
      </c>
      <c r="D687" t="s">
        <v>924</v>
      </c>
      <c r="E687" s="5" t="s">
        <v>8</v>
      </c>
      <c r="F687" s="1">
        <f>F684-F690</f>
        <v>0</v>
      </c>
      <c r="G687" s="1">
        <f t="shared" ref="G687:K687" si="435">G684-G690</f>
        <v>0</v>
      </c>
      <c r="H687" s="1">
        <f t="shared" si="435"/>
        <v>0</v>
      </c>
      <c r="I687" s="1">
        <f t="shared" si="435"/>
        <v>0</v>
      </c>
      <c r="J687" s="1">
        <f t="shared" si="435"/>
        <v>0</v>
      </c>
      <c r="K687" s="1">
        <f t="shared" si="435"/>
        <v>0</v>
      </c>
    </row>
    <row r="688" spans="2:11" x14ac:dyDescent="0.35">
      <c r="B688" t="str">
        <f t="shared" si="384"/>
        <v>SPS4</v>
      </c>
      <c r="C688" t="str">
        <f t="shared" si="430"/>
        <v>CH</v>
      </c>
      <c r="D688" t="s">
        <v>609</v>
      </c>
      <c r="E688" s="5" t="s">
        <v>8</v>
      </c>
      <c r="F688" s="1">
        <f t="shared" ref="F688:K688" si="436">F685-F691</f>
        <v>0</v>
      </c>
      <c r="G688" s="1">
        <f t="shared" si="436"/>
        <v>0</v>
      </c>
      <c r="H688" s="1">
        <f t="shared" si="436"/>
        <v>0</v>
      </c>
      <c r="I688" s="1">
        <f t="shared" si="436"/>
        <v>0</v>
      </c>
      <c r="J688" s="1">
        <f t="shared" si="436"/>
        <v>0</v>
      </c>
      <c r="K688" s="1">
        <f t="shared" si="436"/>
        <v>0</v>
      </c>
    </row>
    <row r="689" spans="2:11" x14ac:dyDescent="0.35">
      <c r="B689" t="str">
        <f t="shared" si="384"/>
        <v>SPS4</v>
      </c>
      <c r="C689" t="str">
        <f t="shared" si="430"/>
        <v>CH</v>
      </c>
      <c r="D689" t="s">
        <v>610</v>
      </c>
      <c r="E689" s="5" t="s">
        <v>8</v>
      </c>
      <c r="F689" s="1">
        <f t="shared" ref="F689:K689" si="437">F686-F692</f>
        <v>0</v>
      </c>
      <c r="G689" s="1">
        <f t="shared" si="437"/>
        <v>0</v>
      </c>
      <c r="H689" s="1">
        <f t="shared" si="437"/>
        <v>0</v>
      </c>
      <c r="I689" s="1">
        <f t="shared" si="437"/>
        <v>0</v>
      </c>
      <c r="J689" s="1">
        <f t="shared" si="437"/>
        <v>0</v>
      </c>
      <c r="K689" s="1">
        <f t="shared" si="437"/>
        <v>0</v>
      </c>
    </row>
    <row r="690" spans="2:11" x14ac:dyDescent="0.35">
      <c r="B690" t="str">
        <f t="shared" si="384"/>
        <v>SPS4</v>
      </c>
      <c r="C690" t="str">
        <f t="shared" si="430"/>
        <v>CH</v>
      </c>
      <c r="D690" t="s">
        <v>925</v>
      </c>
      <c r="E690" s="5" t="s">
        <v>8</v>
      </c>
      <c r="F690" s="1">
        <f>SUM(F691:F692)</f>
        <v>0</v>
      </c>
      <c r="G690" s="1">
        <f t="shared" ref="G690:K690" si="438">SUM(G691:G692)</f>
        <v>0</v>
      </c>
      <c r="H690" s="1">
        <f t="shared" si="438"/>
        <v>0</v>
      </c>
      <c r="I690" s="1">
        <f t="shared" si="438"/>
        <v>0</v>
      </c>
      <c r="J690" s="1">
        <f t="shared" si="438"/>
        <v>0</v>
      </c>
      <c r="K690" s="1">
        <f t="shared" si="438"/>
        <v>1.187064676275747E-3</v>
      </c>
    </row>
    <row r="691" spans="2:11" x14ac:dyDescent="0.35">
      <c r="B691" t="str">
        <f t="shared" si="384"/>
        <v>SPS4</v>
      </c>
      <c r="C691" t="str">
        <f t="shared" si="430"/>
        <v>CH</v>
      </c>
      <c r="D691" t="s">
        <v>670</v>
      </c>
      <c r="E691" s="5" t="s">
        <v>8</v>
      </c>
      <c r="F691" s="1">
        <f>IFERROR(F672/F666,0)*F685</f>
        <v>0</v>
      </c>
      <c r="G691" s="1">
        <f t="shared" ref="G691:K692" si="439">IFERROR(G672/G666,0)*G685</f>
        <v>0</v>
      </c>
      <c r="H691" s="1">
        <f t="shared" si="439"/>
        <v>0</v>
      </c>
      <c r="I691" s="1">
        <f t="shared" si="439"/>
        <v>0</v>
      </c>
      <c r="J691" s="1">
        <f t="shared" si="439"/>
        <v>0</v>
      </c>
      <c r="K691" s="1">
        <f t="shared" si="439"/>
        <v>1.187064676275747E-3</v>
      </c>
    </row>
    <row r="692" spans="2:11" x14ac:dyDescent="0.35">
      <c r="B692" t="str">
        <f t="shared" ref="B692:B755" si="440">B691</f>
        <v>SPS4</v>
      </c>
      <c r="C692" t="str">
        <f t="shared" si="430"/>
        <v>CH</v>
      </c>
      <c r="D692" t="s">
        <v>671</v>
      </c>
      <c r="E692" s="5" t="s">
        <v>8</v>
      </c>
      <c r="F692" s="1">
        <f>IFERROR(F673/F667,0)*F686</f>
        <v>0</v>
      </c>
      <c r="G692" s="1">
        <f t="shared" si="439"/>
        <v>0</v>
      </c>
      <c r="H692" s="1">
        <f t="shared" si="439"/>
        <v>0</v>
      </c>
      <c r="I692" s="1">
        <f t="shared" si="439"/>
        <v>0</v>
      </c>
      <c r="J692" s="1">
        <f t="shared" si="439"/>
        <v>0</v>
      </c>
      <c r="K692" s="1">
        <f t="shared" si="439"/>
        <v>0</v>
      </c>
    </row>
    <row r="693" spans="2:11" x14ac:dyDescent="0.35">
      <c r="B693" t="str">
        <f t="shared" si="440"/>
        <v>SPS4</v>
      </c>
      <c r="C693" t="str">
        <f t="shared" si="430"/>
        <v>CH</v>
      </c>
      <c r="D693" t="s">
        <v>926</v>
      </c>
      <c r="E693" s="5" t="s">
        <v>8</v>
      </c>
      <c r="F693" s="1">
        <f>SUM(F694:F695)</f>
        <v>0</v>
      </c>
      <c r="G693" s="1">
        <f t="shared" ref="G693:K693" si="441">SUM(G694:G695)</f>
        <v>0</v>
      </c>
      <c r="H693" s="1">
        <f t="shared" si="441"/>
        <v>0</v>
      </c>
      <c r="I693" s="1">
        <f t="shared" si="441"/>
        <v>0</v>
      </c>
      <c r="J693" s="1">
        <f t="shared" si="441"/>
        <v>0</v>
      </c>
      <c r="K693" s="1">
        <f t="shared" si="441"/>
        <v>6.0312266559523116E-4</v>
      </c>
    </row>
    <row r="694" spans="2:11" x14ac:dyDescent="0.35">
      <c r="B694" t="str">
        <f t="shared" si="440"/>
        <v>SPS4</v>
      </c>
      <c r="C694" t="str">
        <f t="shared" si="430"/>
        <v>CH</v>
      </c>
      <c r="D694" t="s">
        <v>399</v>
      </c>
      <c r="E694" s="5" t="s">
        <v>8</v>
      </c>
      <c r="F694" s="1" cm="1">
        <f t="array" ref="F694">SUMPRODUCT(("SUP_wodH2"=[1]OUT_SyntheticFuels!$C$4:$C$1000)*1,ISNUMBER(SEARCH("wod",[1]OUT_SyntheticFuels!$A$4:$A$1000))*1,("Var_Fin"=[1]OUT_SyntheticFuels!$B$4:$B$1000)*1,[1]OUT_SyntheticFuels!E$4:E$1000)</f>
        <v>0</v>
      </c>
      <c r="G694" s="1" cm="1">
        <f t="array" ref="G694">SUMPRODUCT(("SUP_wodH2"=[1]OUT_SyntheticFuels!$C$4:$C$1000)*1,ISNUMBER(SEARCH("wod",[1]OUT_SyntheticFuels!$A$4:$A$1000))*1,("Var_Fin"=[1]OUT_SyntheticFuels!$B$4:$B$1000)*1,[1]OUT_SyntheticFuels!F$4:F$1000)</f>
        <v>0</v>
      </c>
      <c r="H694" s="1" cm="1">
        <f t="array" ref="H694">SUMPRODUCT(("SUP_wodH2"=[1]OUT_SyntheticFuels!$C$4:$C$1000)*1,ISNUMBER(SEARCH("wod",[1]OUT_SyntheticFuels!$A$4:$A$1000))*1,("Var_Fin"=[1]OUT_SyntheticFuels!$B$4:$B$1000)*1,[1]OUT_SyntheticFuels!G$4:G$1000)</f>
        <v>0</v>
      </c>
      <c r="I694" s="1" cm="1">
        <f t="array" ref="I694">SUMPRODUCT(("SUP_wodH2"=[1]OUT_SyntheticFuels!$C$4:$C$1000)*1,ISNUMBER(SEARCH("wod",[1]OUT_SyntheticFuels!$A$4:$A$1000))*1,("Var_Fin"=[1]OUT_SyntheticFuels!$B$4:$B$1000)*1,[1]OUT_SyntheticFuels!H$4:H$1000)</f>
        <v>0</v>
      </c>
      <c r="J694" s="1" cm="1">
        <f t="array" ref="J694">SUMPRODUCT(("SUP_wodH2"=[1]OUT_SyntheticFuels!$C$4:$C$1000)*1,ISNUMBER(SEARCH("wod",[1]OUT_SyntheticFuels!$A$4:$A$1000))*1,("Var_Fin"=[1]OUT_SyntheticFuels!$B$4:$B$1000)*1,[1]OUT_SyntheticFuels!I$4:I$1000)</f>
        <v>0</v>
      </c>
      <c r="K694" s="1" cm="1">
        <f t="array" ref="K694">SUMPRODUCT(("SUP_wodH2"=[1]OUT_SyntheticFuels!$C$4:$C$1000)*1,ISNUMBER(SEARCH("wod",[1]OUT_SyntheticFuels!$A$4:$A$1000))*1,("Var_Fin"=[1]OUT_SyntheticFuels!$B$4:$B$1000)*1,[1]OUT_SyntheticFuels!J$4:J$1000)</f>
        <v>6.0312266559523116E-4</v>
      </c>
    </row>
    <row r="695" spans="2:11" x14ac:dyDescent="0.35">
      <c r="B695" t="str">
        <f t="shared" si="440"/>
        <v>SPS4</v>
      </c>
      <c r="C695" t="str">
        <f t="shared" si="430"/>
        <v>CH</v>
      </c>
      <c r="D695" t="s">
        <v>400</v>
      </c>
      <c r="E695" s="5" t="s">
        <v>8</v>
      </c>
      <c r="F695" s="1" cm="1">
        <f t="array" ref="F695">SUMPRODUCT(("SUP_wodH2ccs"=[1]OUT_SyntheticFuels!$C$4:$C$1000)*1,ISNUMBER(SEARCH("wod",[1]OUT_SyntheticFuels!$A$4:$A$1000))*1,("Var_Fin"=[1]OUT_SyntheticFuels!$B$4:$B$1000)*1,[1]OUT_SyntheticFuels!E$4:E$1000)</f>
        <v>0</v>
      </c>
      <c r="G695" s="1" cm="1">
        <f t="array" ref="G695">SUMPRODUCT(("SUP_wodH2ccs"=[1]OUT_SyntheticFuels!$C$4:$C$1000)*1,ISNUMBER(SEARCH("wod",[1]OUT_SyntheticFuels!$A$4:$A$1000))*1,("Var_Fin"=[1]OUT_SyntheticFuels!$B$4:$B$1000)*1,[1]OUT_SyntheticFuels!F$4:F$1000)</f>
        <v>0</v>
      </c>
      <c r="H695" s="1" cm="1">
        <f t="array" ref="H695">SUMPRODUCT(("SUP_wodH2ccs"=[1]OUT_SyntheticFuels!$C$4:$C$1000)*1,ISNUMBER(SEARCH("wod",[1]OUT_SyntheticFuels!$A$4:$A$1000))*1,("Var_Fin"=[1]OUT_SyntheticFuels!$B$4:$B$1000)*1,[1]OUT_SyntheticFuels!G$4:G$1000)</f>
        <v>0</v>
      </c>
      <c r="I695" s="1" cm="1">
        <f t="array" ref="I695">SUMPRODUCT(("SUP_wodH2ccs"=[1]OUT_SyntheticFuels!$C$4:$C$1000)*1,ISNUMBER(SEARCH("wod",[1]OUT_SyntheticFuels!$A$4:$A$1000))*1,("Var_Fin"=[1]OUT_SyntheticFuels!$B$4:$B$1000)*1,[1]OUT_SyntheticFuels!H$4:H$1000)</f>
        <v>0</v>
      </c>
      <c r="J695" s="1" cm="1">
        <f t="array" ref="J695">SUMPRODUCT(("SUP_wodH2ccs"=[1]OUT_SyntheticFuels!$C$4:$C$1000)*1,ISNUMBER(SEARCH("wod",[1]OUT_SyntheticFuels!$A$4:$A$1000))*1,("Var_Fin"=[1]OUT_SyntheticFuels!$B$4:$B$1000)*1,[1]OUT_SyntheticFuels!I$4:I$1000)</f>
        <v>0</v>
      </c>
      <c r="K695" s="1" cm="1">
        <f t="array" ref="K695">SUMPRODUCT(("SUP_wodH2ccs"=[1]OUT_SyntheticFuels!$C$4:$C$1000)*1,ISNUMBER(SEARCH("wod",[1]OUT_SyntheticFuels!$A$4:$A$1000))*1,("Var_Fin"=[1]OUT_SyntheticFuels!$B$4:$B$1000)*1,[1]OUT_SyntheticFuels!J$4:J$1000)</f>
        <v>0</v>
      </c>
    </row>
    <row r="696" spans="2:11" x14ac:dyDescent="0.35">
      <c r="B696" s="9" t="str">
        <f t="shared" si="440"/>
        <v>SPS4</v>
      </c>
      <c r="C696" s="9" t="s">
        <v>7</v>
      </c>
      <c r="D696" s="2" t="s">
        <v>408</v>
      </c>
      <c r="E696" s="9" t="s">
        <v>240</v>
      </c>
      <c r="F696" s="4" t="s">
        <v>292</v>
      </c>
      <c r="G696" s="4" t="s">
        <v>292</v>
      </c>
      <c r="H696" s="4" t="s">
        <v>292</v>
      </c>
      <c r="I696" s="4" t="s">
        <v>292</v>
      </c>
      <c r="J696" s="4" t="s">
        <v>292</v>
      </c>
      <c r="K696" s="4" t="s">
        <v>292</v>
      </c>
    </row>
    <row r="697" spans="2:11" x14ac:dyDescent="0.35">
      <c r="B697" t="str">
        <f t="shared" si="440"/>
        <v>SPS4</v>
      </c>
      <c r="C697" t="str">
        <f t="shared" ref="C697:C703" si="442">C696</f>
        <v>CH</v>
      </c>
      <c r="D697" t="s">
        <v>409</v>
      </c>
      <c r="E697" s="5" t="s">
        <v>240</v>
      </c>
      <c r="F697" s="4">
        <f>IFERROR(F662/F679,"-")</f>
        <v>0.68500000000000039</v>
      </c>
      <c r="G697" s="4">
        <f t="shared" ref="G697:K697" si="443">IFERROR(G662/G679,"-")</f>
        <v>0.69400000000000017</v>
      </c>
      <c r="H697" s="4">
        <f t="shared" si="443"/>
        <v>0.70750000000000013</v>
      </c>
      <c r="I697" s="4">
        <f t="shared" si="443"/>
        <v>0.73000000000000032</v>
      </c>
      <c r="J697" s="4">
        <f t="shared" si="443"/>
        <v>0.77499999999999825</v>
      </c>
      <c r="K697" s="4">
        <f t="shared" si="443"/>
        <v>0.81999999999999973</v>
      </c>
    </row>
    <row r="698" spans="2:11" x14ac:dyDescent="0.35">
      <c r="B698" t="str">
        <f t="shared" si="440"/>
        <v>SPS4</v>
      </c>
      <c r="C698" t="str">
        <f t="shared" si="442"/>
        <v>CH</v>
      </c>
      <c r="D698" t="s">
        <v>410</v>
      </c>
      <c r="E698" s="5" t="s">
        <v>240</v>
      </c>
      <c r="F698" s="4" t="str">
        <f>IFERROR(F663/F680,"-")</f>
        <v>-</v>
      </c>
      <c r="G698" s="4" t="str">
        <f t="shared" ref="G698:K698" si="444">IFERROR(G663/G680,"-")</f>
        <v>-</v>
      </c>
      <c r="H698" s="4" t="str">
        <f t="shared" si="444"/>
        <v>-</v>
      </c>
      <c r="I698" s="4">
        <f t="shared" si="444"/>
        <v>0.72999999999999987</v>
      </c>
      <c r="J698" s="4">
        <f t="shared" si="444"/>
        <v>0.77500000000000002</v>
      </c>
      <c r="K698" s="4">
        <f t="shared" si="444"/>
        <v>0.81999999999999973</v>
      </c>
    </row>
    <row r="699" spans="2:11" x14ac:dyDescent="0.35">
      <c r="B699" t="str">
        <f t="shared" si="440"/>
        <v>SPS4</v>
      </c>
      <c r="C699" t="str">
        <f t="shared" si="442"/>
        <v>CH</v>
      </c>
      <c r="D699" t="s">
        <v>411</v>
      </c>
      <c r="E699" s="5" t="s">
        <v>240</v>
      </c>
      <c r="F699" s="4" t="str">
        <f>IFERROR(F664/SUM(F681,F683),"-")</f>
        <v>-</v>
      </c>
      <c r="G699" s="4" t="str">
        <f t="shared" ref="G699:K699" si="445">IFERROR(G664/SUM(G681,G683),"-")</f>
        <v>-</v>
      </c>
      <c r="H699" s="4" t="str">
        <f t="shared" si="445"/>
        <v>-</v>
      </c>
      <c r="I699" s="4" t="str">
        <f t="shared" si="445"/>
        <v>-</v>
      </c>
      <c r="J699" s="4">
        <f t="shared" si="445"/>
        <v>0.87</v>
      </c>
      <c r="K699" s="4">
        <f t="shared" si="445"/>
        <v>0.90000000000000013</v>
      </c>
    </row>
    <row r="700" spans="2:11" x14ac:dyDescent="0.35">
      <c r="B700" t="str">
        <f t="shared" si="440"/>
        <v>SPS4</v>
      </c>
      <c r="C700" t="str">
        <f t="shared" si="442"/>
        <v>CH</v>
      </c>
      <c r="D700" t="s">
        <v>412</v>
      </c>
      <c r="E700" s="5" t="s">
        <v>240</v>
      </c>
      <c r="F700" s="4" t="str">
        <f>IFERROR(F666/F685,"-")</f>
        <v>-</v>
      </c>
      <c r="G700" s="4" t="str">
        <f t="shared" ref="G700:K701" si="446">IFERROR(G666/G685,"-")</f>
        <v>-</v>
      </c>
      <c r="H700" s="4" t="str">
        <f t="shared" si="446"/>
        <v>-</v>
      </c>
      <c r="I700" s="4" t="str">
        <f t="shared" si="446"/>
        <v>-</v>
      </c>
      <c r="J700" s="4" t="str">
        <f t="shared" si="446"/>
        <v>-</v>
      </c>
      <c r="K700" s="4">
        <f t="shared" si="446"/>
        <v>0.76000000000000023</v>
      </c>
    </row>
    <row r="701" spans="2:11" x14ac:dyDescent="0.35">
      <c r="B701" t="str">
        <f t="shared" si="440"/>
        <v>SPS4</v>
      </c>
      <c r="C701" t="str">
        <f t="shared" si="442"/>
        <v>CH</v>
      </c>
      <c r="D701" t="s">
        <v>413</v>
      </c>
      <c r="E701" s="5" t="s">
        <v>240</v>
      </c>
      <c r="F701" s="4" t="str">
        <f>IFERROR(F667/F686,"-")</f>
        <v>-</v>
      </c>
      <c r="G701" s="4" t="str">
        <f t="shared" si="446"/>
        <v>-</v>
      </c>
      <c r="H701" s="4" t="str">
        <f t="shared" si="446"/>
        <v>-</v>
      </c>
      <c r="I701" s="4" t="str">
        <f t="shared" si="446"/>
        <v>-</v>
      </c>
      <c r="J701" s="4" t="str">
        <f t="shared" si="446"/>
        <v>-</v>
      </c>
      <c r="K701" s="4" t="str">
        <f t="shared" si="446"/>
        <v>-</v>
      </c>
    </row>
    <row r="702" spans="2:11" x14ac:dyDescent="0.35">
      <c r="B702" t="str">
        <f t="shared" si="440"/>
        <v>SPS4</v>
      </c>
      <c r="C702" t="str">
        <f>C701</f>
        <v>CH</v>
      </c>
      <c r="D702" t="s">
        <v>414</v>
      </c>
      <c r="E702" s="5" t="s">
        <v>240</v>
      </c>
      <c r="F702" s="4" t="str">
        <f>IFERROR(F675/F694,"-")</f>
        <v>-</v>
      </c>
      <c r="G702" s="4" t="str">
        <f t="shared" ref="G702:K703" si="447">IFERROR(G675/G694,"-")</f>
        <v>-</v>
      </c>
      <c r="H702" s="4" t="str">
        <f t="shared" si="447"/>
        <v>-</v>
      </c>
      <c r="I702" s="4" t="str">
        <f t="shared" si="447"/>
        <v>-</v>
      </c>
      <c r="J702" s="4" t="str">
        <f t="shared" si="447"/>
        <v>-</v>
      </c>
      <c r="K702" s="4">
        <f t="shared" si="447"/>
        <v>0.6000000000000002</v>
      </c>
    </row>
    <row r="703" spans="2:11" x14ac:dyDescent="0.35">
      <c r="B703" t="str">
        <f t="shared" si="440"/>
        <v>SPS4</v>
      </c>
      <c r="C703" t="str">
        <f t="shared" si="442"/>
        <v>CH</v>
      </c>
      <c r="D703" t="s">
        <v>415</v>
      </c>
      <c r="E703" s="5" t="s">
        <v>240</v>
      </c>
      <c r="F703" s="4" t="str">
        <f>IFERROR(F676/F695,"-")</f>
        <v>-</v>
      </c>
      <c r="G703" s="4" t="str">
        <f t="shared" si="447"/>
        <v>-</v>
      </c>
      <c r="H703" s="4" t="str">
        <f t="shared" si="447"/>
        <v>-</v>
      </c>
      <c r="I703" s="4" t="str">
        <f t="shared" si="447"/>
        <v>-</v>
      </c>
      <c r="J703" s="4" t="str">
        <f t="shared" si="447"/>
        <v>-</v>
      </c>
      <c r="K703" s="4" t="str">
        <f t="shared" si="447"/>
        <v>-</v>
      </c>
    </row>
    <row r="704" spans="2:11" x14ac:dyDescent="0.35">
      <c r="B704" s="9" t="str">
        <f t="shared" si="440"/>
        <v>SPS4</v>
      </c>
      <c r="C704" s="9" t="s">
        <v>7</v>
      </c>
      <c r="D704" s="2" t="s">
        <v>424</v>
      </c>
      <c r="E704" s="9" t="s">
        <v>8</v>
      </c>
      <c r="F704" s="1">
        <f>[1]Other_transformation!B$39</f>
        <v>1.1764785163233034</v>
      </c>
      <c r="G704" s="1">
        <f>[1]Other_transformation!C$39</f>
        <v>3.8140167071429172</v>
      </c>
      <c r="H704" s="1">
        <f>[1]Other_transformation!D$39</f>
        <v>3.1734207674832344</v>
      </c>
      <c r="I704" s="1">
        <f>[1]Other_transformation!E$39</f>
        <v>3.1732993049492517</v>
      </c>
      <c r="J704" s="1">
        <f>[1]Other_transformation!F$39</f>
        <v>3.172071117831861</v>
      </c>
      <c r="K704" s="1">
        <f>[1]Other_transformation!G$39</f>
        <v>3.1730891246419533</v>
      </c>
    </row>
    <row r="705" spans="2:11" x14ac:dyDescent="0.35">
      <c r="B705" s="9" t="str">
        <f t="shared" si="440"/>
        <v>SPS4</v>
      </c>
      <c r="C705" s="9" t="s">
        <v>7</v>
      </c>
      <c r="D705" s="2" t="s">
        <v>425</v>
      </c>
      <c r="E705" s="9" t="s">
        <v>8</v>
      </c>
      <c r="F705" s="1">
        <f>[1]Other_transformation!B$38</f>
        <v>1.2890788461961467</v>
      </c>
      <c r="G705" s="1">
        <f>[1]Other_transformation!C$38</f>
        <v>4.1790548556566387</v>
      </c>
      <c r="H705" s="1">
        <f>[1]Other_transformation!D$38</f>
        <v>3.4771477121627368</v>
      </c>
      <c r="I705" s="1">
        <f>[1]Other_transformation!E$38</f>
        <v>3.47701462449391</v>
      </c>
      <c r="J705" s="1">
        <f>[1]Other_transformation!F$38</f>
        <v>3.4756688880352873</v>
      </c>
      <c r="K705" s="1">
        <f>[1]Other_transformation!G$38</f>
        <v>3.4767843279060227</v>
      </c>
    </row>
    <row r="706" spans="2:11" x14ac:dyDescent="0.35">
      <c r="B706" s="9" t="str">
        <f t="shared" si="440"/>
        <v>SPS4</v>
      </c>
      <c r="C706" s="9" t="s">
        <v>7</v>
      </c>
      <c r="D706" s="2" t="s">
        <v>426</v>
      </c>
      <c r="E706" s="9" t="s">
        <v>8</v>
      </c>
      <c r="F706" s="14">
        <f t="shared" ref="F706:K706" si="448">F704/F705</f>
        <v>0.91265054871925966</v>
      </c>
      <c r="G706" s="14">
        <f t="shared" si="448"/>
        <v>0.91265054871925955</v>
      </c>
      <c r="H706" s="14">
        <f t="shared" si="448"/>
        <v>0.91265054871925799</v>
      </c>
      <c r="I706" s="14">
        <f t="shared" si="448"/>
        <v>0.91265054871925799</v>
      </c>
      <c r="J706" s="14">
        <f t="shared" si="448"/>
        <v>0.91265054871925877</v>
      </c>
      <c r="K706" s="14">
        <f t="shared" si="448"/>
        <v>0.91265054871925944</v>
      </c>
    </row>
    <row r="707" spans="2:11" x14ac:dyDescent="0.35">
      <c r="B707" s="9" t="str">
        <f t="shared" si="440"/>
        <v>SPS4</v>
      </c>
      <c r="C707" s="9" t="s">
        <v>6</v>
      </c>
      <c r="D707" s="2" t="s">
        <v>474</v>
      </c>
      <c r="E707" s="9" t="s">
        <v>8</v>
      </c>
      <c r="F707" s="17" cm="1">
        <f t="array" ref="F707">SUMPRODUCT(("CT_CWODPLT"=[1]OUT_SyntheticFuels!$C$4:$C$1000)*1,("Var_Fout"=[1]OUT_SyntheticFuels!$B$4:$B$1000)*1,[1]OUT_SyntheticFuels!E$4:E$1000)</f>
        <v>5.9796955672765764</v>
      </c>
      <c r="G707" s="17" cm="1">
        <f t="array" ref="G707">SUMPRODUCT(("CT_CWODPLT"=[1]OUT_SyntheticFuels!$C$4:$C$1000)*1,("Var_Fout"=[1]OUT_SyntheticFuels!$B$4:$B$1000)*1,[1]OUT_SyntheticFuels!F$4:F$1000)</f>
        <v>6.9696799409652002</v>
      </c>
      <c r="H707" s="17" cm="1">
        <f t="array" ref="H707">SUMPRODUCT(("CT_CWODPLT"=[1]OUT_SyntheticFuels!$C$4:$C$1000)*1,("Var_Fout"=[1]OUT_SyntheticFuels!$B$4:$B$1000)*1,[1]OUT_SyntheticFuels!G$4:G$1000)</f>
        <v>2.0980124460658089</v>
      </c>
      <c r="I707" s="17" cm="1">
        <f t="array" ref="I707">SUMPRODUCT(("CT_CWODPLT"=[1]OUT_SyntheticFuels!$C$4:$C$1000)*1,("Var_Fout"=[1]OUT_SyntheticFuels!$B$4:$B$1000)*1,[1]OUT_SyntheticFuels!H$4:H$1000)</f>
        <v>2.953253815169679</v>
      </c>
      <c r="J707" s="17" cm="1">
        <f t="array" ref="J707">SUMPRODUCT(("CT_CWODPLT"=[1]OUT_SyntheticFuels!$C$4:$C$1000)*1,("Var_Fout"=[1]OUT_SyntheticFuels!$B$4:$B$1000)*1,[1]OUT_SyntheticFuels!I$4:I$1000)</f>
        <v>3.8875699109543489</v>
      </c>
      <c r="K707" s="17" cm="1">
        <f t="array" ref="K707">SUMPRODUCT(("CT_CWODPLT"=[1]OUT_SyntheticFuels!$C$4:$C$1000)*1,("Var_Fout"=[1]OUT_SyntheticFuels!$B$4:$B$1000)*1,[1]OUT_SyntheticFuels!J$4:J$1000)</f>
        <v>4.6027389723579359</v>
      </c>
    </row>
    <row r="708" spans="2:11" x14ac:dyDescent="0.35">
      <c r="B708" s="5" t="str">
        <f t="shared" si="440"/>
        <v>SPS4</v>
      </c>
      <c r="C708" s="5" t="str">
        <f>C707</f>
        <v>SPS1</v>
      </c>
      <c r="D708" t="s">
        <v>491</v>
      </c>
      <c r="E708" s="5" t="s">
        <v>8</v>
      </c>
      <c r="F708" s="18">
        <f>F707</f>
        <v>5.9796955672765764</v>
      </c>
      <c r="G708" s="18">
        <f t="shared" ref="G708:K708" si="449">G707</f>
        <v>6.9696799409652002</v>
      </c>
      <c r="H708" s="18">
        <f t="shared" si="449"/>
        <v>2.0980124460658089</v>
      </c>
      <c r="I708" s="18">
        <f t="shared" si="449"/>
        <v>2.953253815169679</v>
      </c>
      <c r="J708" s="18">
        <f t="shared" si="449"/>
        <v>3.8875699109543489</v>
      </c>
      <c r="K708" s="18">
        <f t="shared" si="449"/>
        <v>4.6027389723579359</v>
      </c>
    </row>
    <row r="709" spans="2:11" x14ac:dyDescent="0.35">
      <c r="B709" s="9" t="str">
        <f t="shared" si="440"/>
        <v>SPS4</v>
      </c>
      <c r="C709" s="9" t="s">
        <v>6</v>
      </c>
      <c r="D709" s="2" t="s">
        <v>475</v>
      </c>
      <c r="E709" s="9" t="s">
        <v>8</v>
      </c>
      <c r="F709" s="17" cm="1">
        <f t="array" ref="F709">SUMPRODUCT(("CT_CWODPLT"=[1]OUT_SyntheticFuels!$C$4:$C$1000)*1,("Var_Fin"=[1]OUT_SyntheticFuels!$B$4:$B$1000)*1,[1]OUT_SyntheticFuels!E$4:E$1000)</f>
        <v>7.1186851991387865</v>
      </c>
      <c r="G709" s="17" cm="1">
        <f t="array" ref="G709">SUMPRODUCT(("CT_CWODPLT"=[1]OUT_SyntheticFuels!$C$4:$C$1000)*1,("Var_Fin"=[1]OUT_SyntheticFuels!$B$4:$B$1000)*1,[1]OUT_SyntheticFuels!F$4:F$1000)</f>
        <v>8.2972380249585687</v>
      </c>
      <c r="H709" s="17" cm="1">
        <f t="array" ref="H709">SUMPRODUCT(("CT_CWODPLT"=[1]OUT_SyntheticFuels!$C$4:$C$1000)*1,("Var_Fin"=[1]OUT_SyntheticFuels!$B$4:$B$1000)*1,[1]OUT_SyntheticFuels!G$4:G$1000)</f>
        <v>2.4976338643640581</v>
      </c>
      <c r="I709" s="17" cm="1">
        <f t="array" ref="I709">SUMPRODUCT(("CT_CWODPLT"=[1]OUT_SyntheticFuels!$C$4:$C$1000)*1,("Var_Fin"=[1]OUT_SyntheticFuels!$B$4:$B$1000)*1,[1]OUT_SyntheticFuels!H$4:H$1000)</f>
        <v>3.515778351392477</v>
      </c>
      <c r="J709" s="17" cm="1">
        <f t="array" ref="J709">SUMPRODUCT(("CT_CWODPLT"=[1]OUT_SyntheticFuels!$C$4:$C$1000)*1,("Var_Fin"=[1]OUT_SyntheticFuels!$B$4:$B$1000)*1,[1]OUT_SyntheticFuels!I$4:I$1000)</f>
        <v>4.6280594178027918</v>
      </c>
      <c r="K709" s="17" cm="1">
        <f t="array" ref="K709">SUMPRODUCT(("CT_CWODPLT"=[1]OUT_SyntheticFuels!$C$4:$C$1000)*1,("Var_Fin"=[1]OUT_SyntheticFuels!$B$4:$B$1000)*1,[1]OUT_SyntheticFuels!J$4:J$1000)</f>
        <v>5.4794511575689686</v>
      </c>
    </row>
    <row r="710" spans="2:11" x14ac:dyDescent="0.35">
      <c r="B710" s="5" t="str">
        <f t="shared" si="440"/>
        <v>SPS4</v>
      </c>
      <c r="C710" s="5" t="str">
        <f>C709</f>
        <v>SPS1</v>
      </c>
      <c r="D710" s="5" t="s">
        <v>490</v>
      </c>
      <c r="E710" s="5" t="str">
        <f>E709</f>
        <v>PJ/yr.</v>
      </c>
      <c r="F710" s="18">
        <f t="shared" ref="F710:K710" si="450">F709</f>
        <v>7.1186851991387865</v>
      </c>
      <c r="G710" s="18">
        <f t="shared" si="450"/>
        <v>8.2972380249585687</v>
      </c>
      <c r="H710" s="18">
        <f t="shared" si="450"/>
        <v>2.4976338643640581</v>
      </c>
      <c r="I710" s="18">
        <f t="shared" si="450"/>
        <v>3.515778351392477</v>
      </c>
      <c r="J710" s="18">
        <f t="shared" si="450"/>
        <v>4.6280594178027918</v>
      </c>
      <c r="K710" s="18">
        <f t="shared" si="450"/>
        <v>5.4794511575689686</v>
      </c>
    </row>
    <row r="711" spans="2:11" x14ac:dyDescent="0.35">
      <c r="B711" s="9" t="str">
        <f t="shared" si="440"/>
        <v>SPS4</v>
      </c>
      <c r="C711" s="9" t="s">
        <v>6</v>
      </c>
      <c r="D711" s="2" t="s">
        <v>476</v>
      </c>
      <c r="E711" s="9" t="s">
        <v>240</v>
      </c>
      <c r="F711" s="14">
        <f t="shared" ref="F711:K711" si="451">IFERROR(F707/F709,"-")</f>
        <v>0.83999999999999941</v>
      </c>
      <c r="G711" s="14">
        <f t="shared" si="451"/>
        <v>0.8400000000000003</v>
      </c>
      <c r="H711" s="14">
        <f t="shared" si="451"/>
        <v>0.84000000000000008</v>
      </c>
      <c r="I711" s="14">
        <f t="shared" si="451"/>
        <v>0.83999999999999952</v>
      </c>
      <c r="J711" s="14">
        <f t="shared" si="451"/>
        <v>0.84000000000000086</v>
      </c>
      <c r="K711" s="14">
        <f t="shared" si="451"/>
        <v>0.84000000000000041</v>
      </c>
    </row>
    <row r="712" spans="2:11" x14ac:dyDescent="0.35">
      <c r="B712" s="9" t="str">
        <f t="shared" si="440"/>
        <v>SPS4</v>
      </c>
      <c r="C712" s="9" t="str">
        <f>C706</f>
        <v>CH</v>
      </c>
      <c r="D712" s="2" t="s">
        <v>431</v>
      </c>
      <c r="E712" s="9" t="s">
        <v>8</v>
      </c>
      <c r="F712" s="17">
        <f>F713+F715</f>
        <v>0</v>
      </c>
      <c r="G712" s="17">
        <f t="shared" ref="G712:K712" si="452">G713+G715</f>
        <v>0</v>
      </c>
      <c r="H712" s="17">
        <f t="shared" si="452"/>
        <v>0</v>
      </c>
      <c r="I712" s="17">
        <f t="shared" si="452"/>
        <v>0</v>
      </c>
      <c r="J712" s="17">
        <f t="shared" si="452"/>
        <v>0</v>
      </c>
      <c r="K712" s="17">
        <f t="shared" si="452"/>
        <v>0</v>
      </c>
    </row>
    <row r="713" spans="2:11" x14ac:dyDescent="0.35">
      <c r="B713" s="5" t="str">
        <f t="shared" si="440"/>
        <v>SPS4</v>
      </c>
      <c r="C713" s="5" t="str">
        <f>C706</f>
        <v>CH</v>
      </c>
      <c r="D713" t="s">
        <v>927</v>
      </c>
      <c r="E713" s="5" t="s">
        <v>8</v>
      </c>
      <c r="F713" s="18">
        <f>F714</f>
        <v>0</v>
      </c>
      <c r="G713" s="18">
        <f t="shared" ref="G713:K713" si="453">G714</f>
        <v>0</v>
      </c>
      <c r="H713" s="18">
        <f t="shared" si="453"/>
        <v>0</v>
      </c>
      <c r="I713" s="18">
        <f t="shared" si="453"/>
        <v>0</v>
      </c>
      <c r="J713" s="18">
        <f t="shared" si="453"/>
        <v>0</v>
      </c>
      <c r="K713" s="18">
        <f t="shared" si="453"/>
        <v>0</v>
      </c>
    </row>
    <row r="714" spans="2:11" x14ac:dyDescent="0.35">
      <c r="B714" s="5" t="str">
        <f t="shared" si="440"/>
        <v>SPS4</v>
      </c>
      <c r="C714" s="5" t="str">
        <f t="shared" ref="C714:C716" si="454">C712</f>
        <v>CH</v>
      </c>
      <c r="D714" t="s">
        <v>427</v>
      </c>
      <c r="E714" s="5" t="s">
        <v>8</v>
      </c>
      <c r="F714" s="18" cm="1">
        <f t="array" ref="F714">SUMPRODUCT(("SUP_H2NGA"=[1]OUT_SyntheticFuels!$C$4:$C$1000)*1,("NGA"=[1]OUT_SyntheticFuels!$A$4:$A$1000)*1,("Var_Fout"=[1]OUT_SyntheticFuels!$B$4:$B$1000)*1,[1]OUT_SyntheticFuels!E$4:E$1000)</f>
        <v>0</v>
      </c>
      <c r="G714" s="18" cm="1">
        <f t="array" ref="G714">SUMPRODUCT(("SUP_H2NGA"=[1]OUT_SyntheticFuels!$C$4:$C$1000)*1,("NGA"=[1]OUT_SyntheticFuels!$A$4:$A$1000)*1,("Var_Fout"=[1]OUT_SyntheticFuels!$B$4:$B$1000)*1,[1]OUT_SyntheticFuels!F$4:F$1000)</f>
        <v>0</v>
      </c>
      <c r="H714" s="18" cm="1">
        <f t="array" ref="H714">SUMPRODUCT(("SUP_H2NGA"=[1]OUT_SyntheticFuels!$C$4:$C$1000)*1,("NGA"=[1]OUT_SyntheticFuels!$A$4:$A$1000)*1,("Var_Fout"=[1]OUT_SyntheticFuels!$B$4:$B$1000)*1,[1]OUT_SyntheticFuels!G$4:G$1000)</f>
        <v>0</v>
      </c>
      <c r="I714" s="18" cm="1">
        <f t="array" ref="I714">SUMPRODUCT(("SUP_H2NGA"=[1]OUT_SyntheticFuels!$C$4:$C$1000)*1,("NGA"=[1]OUT_SyntheticFuels!$A$4:$A$1000)*1,("Var_Fout"=[1]OUT_SyntheticFuels!$B$4:$B$1000)*1,[1]OUT_SyntheticFuels!H$4:H$1000)</f>
        <v>0</v>
      </c>
      <c r="J714" s="18" cm="1">
        <f t="array" ref="J714">SUMPRODUCT(("SUP_H2NGA"=[1]OUT_SyntheticFuels!$C$4:$C$1000)*1,("NGA"=[1]OUT_SyntheticFuels!$A$4:$A$1000)*1,("Var_Fout"=[1]OUT_SyntheticFuels!$B$4:$B$1000)*1,[1]OUT_SyntheticFuels!I$4:I$1000)</f>
        <v>0</v>
      </c>
      <c r="K714" s="18" cm="1">
        <f t="array" ref="K714">SUMPRODUCT(("SUP_H2NGA"=[1]OUT_SyntheticFuels!$C$4:$C$1000)*1,("NGA"=[1]OUT_SyntheticFuels!$A$4:$A$1000)*1,("Var_Fout"=[1]OUT_SyntheticFuels!$B$4:$B$1000)*1,[1]OUT_SyntheticFuels!J$4:J$1000)</f>
        <v>0</v>
      </c>
    </row>
    <row r="715" spans="2:11" x14ac:dyDescent="0.35">
      <c r="B715" s="5" t="str">
        <f t="shared" si="440"/>
        <v>SPS4</v>
      </c>
      <c r="C715" s="5" t="str">
        <f t="shared" si="454"/>
        <v>CH</v>
      </c>
      <c r="D715" t="s">
        <v>928</v>
      </c>
      <c r="E715" s="5" t="s">
        <v>8</v>
      </c>
      <c r="F715" s="18">
        <f>SUM(F716:F718)</f>
        <v>0</v>
      </c>
      <c r="G715" s="18">
        <f t="shared" ref="G715:K715" si="455">SUM(G716:G718)</f>
        <v>0</v>
      </c>
      <c r="H715" s="18">
        <f t="shared" si="455"/>
        <v>0</v>
      </c>
      <c r="I715" s="18">
        <f t="shared" si="455"/>
        <v>0</v>
      </c>
      <c r="J715" s="18">
        <f t="shared" si="455"/>
        <v>0</v>
      </c>
      <c r="K715" s="18">
        <f t="shared" si="455"/>
        <v>0</v>
      </c>
    </row>
    <row r="716" spans="2:11" x14ac:dyDescent="0.35">
      <c r="B716" s="5" t="str">
        <f t="shared" si="440"/>
        <v>SPS4</v>
      </c>
      <c r="C716" s="5" t="str">
        <f t="shared" si="454"/>
        <v>CH</v>
      </c>
      <c r="D716" t="s">
        <v>428</v>
      </c>
      <c r="E716" s="5" t="s">
        <v>8</v>
      </c>
      <c r="F716" s="18" cm="1">
        <f t="array" ref="F716">SUMPRODUCT(("SUP_H2DSL"=[1]OUT_SyntheticFuels!$C$4:$C$1000)*1,("DSL"=[1]OUT_SyntheticFuels!$A$4:$A$1000)*1,("Var_Fout"=[1]OUT_SyntheticFuels!$B$4:$B$1000)*1,[1]OUT_SyntheticFuels!E$4:E$1000)</f>
        <v>0</v>
      </c>
      <c r="G716" s="18" cm="1">
        <f t="array" ref="G716">SUMPRODUCT(("SUP_H2DSL"=[1]OUT_SyntheticFuels!$C$4:$C$1000)*1,("DSL"=[1]OUT_SyntheticFuels!$A$4:$A$1000)*1,("Var_Fout"=[1]OUT_SyntheticFuels!$B$4:$B$1000)*1,[1]OUT_SyntheticFuels!F$4:F$1000)</f>
        <v>0</v>
      </c>
      <c r="H716" s="18" cm="1">
        <f t="array" ref="H716">SUMPRODUCT(("SUP_H2DSL"=[1]OUT_SyntheticFuels!$C$4:$C$1000)*1,("DSL"=[1]OUT_SyntheticFuels!$A$4:$A$1000)*1,("Var_Fout"=[1]OUT_SyntheticFuels!$B$4:$B$1000)*1,[1]OUT_SyntheticFuels!G$4:G$1000)</f>
        <v>0</v>
      </c>
      <c r="I716" s="18" cm="1">
        <f t="array" ref="I716">SUMPRODUCT(("SUP_H2DSL"=[1]OUT_SyntheticFuels!$C$4:$C$1000)*1,("DSL"=[1]OUT_SyntheticFuels!$A$4:$A$1000)*1,("Var_Fout"=[1]OUT_SyntheticFuels!$B$4:$B$1000)*1,[1]OUT_SyntheticFuels!H$4:H$1000)</f>
        <v>0</v>
      </c>
      <c r="J716" s="18" cm="1">
        <f t="array" ref="J716">SUMPRODUCT(("SUP_H2DSL"=[1]OUT_SyntheticFuels!$C$4:$C$1000)*1,("DSL"=[1]OUT_SyntheticFuels!$A$4:$A$1000)*1,("Var_Fout"=[1]OUT_SyntheticFuels!$B$4:$B$1000)*1,[1]OUT_SyntheticFuels!I$4:I$1000)</f>
        <v>0</v>
      </c>
      <c r="K716" s="18" cm="1">
        <f t="array" ref="K716">SUMPRODUCT(("SUP_H2DSL"=[1]OUT_SyntheticFuels!$C$4:$C$1000)*1,("DSL"=[1]OUT_SyntheticFuels!$A$4:$A$1000)*1,("Var_Fout"=[1]OUT_SyntheticFuels!$B$4:$B$1000)*1,[1]OUT_SyntheticFuels!J$4:J$1000)</f>
        <v>0</v>
      </c>
    </row>
    <row r="717" spans="2:11" x14ac:dyDescent="0.35">
      <c r="B717" s="5" t="str">
        <f t="shared" si="440"/>
        <v>SPS4</v>
      </c>
      <c r="C717" s="5" t="str">
        <f t="shared" ref="C717:C719" si="456">C716</f>
        <v>CH</v>
      </c>
      <c r="D717" t="s">
        <v>429</v>
      </c>
      <c r="E717" s="5" t="s">
        <v>8</v>
      </c>
      <c r="F717" s="18" cm="1">
        <f t="array" ref="F717">SUMPRODUCT(("SUP_H2gsl"=[1]OUT_SyntheticFuels!$C$4:$C$1000)*1,("gsl"=[1]OUT_SyntheticFuels!$A$4:$A$1000)*1,("Var_Fout"=[1]OUT_SyntheticFuels!$B$4:$B$1000)*1,[1]OUT_SyntheticFuels!E$4:E$1000)</f>
        <v>0</v>
      </c>
      <c r="G717" s="18" cm="1">
        <f t="array" ref="G717">SUMPRODUCT(("SUP_H2gsl"=[1]OUT_SyntheticFuels!$C$4:$C$1000)*1,("gsl"=[1]OUT_SyntheticFuels!$A$4:$A$1000)*1,("Var_Fout"=[1]OUT_SyntheticFuels!$B$4:$B$1000)*1,[1]OUT_SyntheticFuels!F$4:F$1000)</f>
        <v>0</v>
      </c>
      <c r="H717" s="18" cm="1">
        <f t="array" ref="H717">SUMPRODUCT(("SUP_H2gsl"=[1]OUT_SyntheticFuels!$C$4:$C$1000)*1,("gsl"=[1]OUT_SyntheticFuels!$A$4:$A$1000)*1,("Var_Fout"=[1]OUT_SyntheticFuels!$B$4:$B$1000)*1,[1]OUT_SyntheticFuels!G$4:G$1000)</f>
        <v>0</v>
      </c>
      <c r="I717" s="18" cm="1">
        <f t="array" ref="I717">SUMPRODUCT(("SUP_H2gsl"=[1]OUT_SyntheticFuels!$C$4:$C$1000)*1,("gsl"=[1]OUT_SyntheticFuels!$A$4:$A$1000)*1,("Var_Fout"=[1]OUT_SyntheticFuels!$B$4:$B$1000)*1,[1]OUT_SyntheticFuels!H$4:H$1000)</f>
        <v>0</v>
      </c>
      <c r="J717" s="18" cm="1">
        <f t="array" ref="J717">SUMPRODUCT(("SUP_H2gsl"=[1]OUT_SyntheticFuels!$C$4:$C$1000)*1,("gsl"=[1]OUT_SyntheticFuels!$A$4:$A$1000)*1,("Var_Fout"=[1]OUT_SyntheticFuels!$B$4:$B$1000)*1,[1]OUT_SyntheticFuels!I$4:I$1000)</f>
        <v>0</v>
      </c>
      <c r="K717" s="18" cm="1">
        <f t="array" ref="K717">SUMPRODUCT(("SUP_H2gsl"=[1]OUT_SyntheticFuels!$C$4:$C$1000)*1,("gsl"=[1]OUT_SyntheticFuels!$A$4:$A$1000)*1,("Var_Fout"=[1]OUT_SyntheticFuels!$B$4:$B$1000)*1,[1]OUT_SyntheticFuels!J$4:J$1000)</f>
        <v>0</v>
      </c>
    </row>
    <row r="718" spans="2:11" x14ac:dyDescent="0.35">
      <c r="B718" s="5" t="str">
        <f t="shared" si="440"/>
        <v>SPS4</v>
      </c>
      <c r="C718" s="5" t="str">
        <f t="shared" si="456"/>
        <v>CH</v>
      </c>
      <c r="D718" t="s">
        <v>430</v>
      </c>
      <c r="E718" s="5" t="s">
        <v>8</v>
      </c>
      <c r="F718" s="18" cm="1">
        <f t="array" ref="F718">SUMPRODUCT(("SUP_H2DSL"=[1]OUT_SyntheticFuels!$C$4:$C$1000)*1,("KER"=[1]OUT_SyntheticFuels!$A$4:$A$1000)*1,("Var_Fout"=[1]OUT_SyntheticFuels!$B$4:$B$1000)*1,[1]OUT_SyntheticFuels!E$4:E$1000)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SUMPRODUCT(("SUP_H2DSL"=[1]OUT_SyntheticFuels!$C$4:$C$1000)*1,("KER"=[1]OUT_SyntheticFuels!$A$4:$A$1000)*1,("Var_Fout"=[1]OUT_SyntheticFuels!$B$4:$B$1000)*1,[1]OUT_SyntheticFuels!F$4:F$1000)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SUMPRODUCT(("SUP_H2DSL"=[1]OUT_SyntheticFuels!$C$4:$C$1000)*1,("KER"=[1]OUT_SyntheticFuels!$A$4:$A$1000)*1,("Var_Fout"=[1]OUT_SyntheticFuels!$B$4:$B$1000)*1,[1]OUT_SyntheticFuels!G$4:G$1000)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SUMPRODUCT(("SUP_H2DSL"=[1]OUT_SyntheticFuels!$C$4:$C$1000)*1,("KER"=[1]OUT_SyntheticFuels!$A$4:$A$1000)*1,("Var_Fout"=[1]OUT_SyntheticFuels!$B$4:$B$1000)*1,[1]OUT_SyntheticFuels!H$4:H$1000)</f>
        <v>0</v>
      </c>
      <c r="J718" s="18" cm="1">
        <f t="array" ref="J718">SUMPRODUCT(("SUP_H2DSL"=[1]OUT_SyntheticFuels!$C$4:$C$1000)*1,("KER"=[1]OUT_SyntheticFuels!$A$4:$A$1000)*1,("Var_Fout"=[1]OUT_SyntheticFuels!$B$4:$B$1000)*1,[1]OUT_SyntheticFuels!I$4:I$1000)</f>
        <v>0</v>
      </c>
      <c r="K718" s="18" cm="1">
        <f t="array" ref="K718">SUMPRODUCT(("SUP_H2DSL"=[1]OUT_SyntheticFuels!$C$4:$C$1000)*1,("KER"=[1]OUT_SyntheticFuels!$A$4:$A$1000)*1,("Var_Fout"=[1]OUT_SyntheticFuels!$B$4:$B$1000)*1,[1]OUT_SyntheticFuels!J$4:J$1000)</f>
        <v>0</v>
      </c>
    </row>
    <row r="719" spans="2:11" x14ac:dyDescent="0.35">
      <c r="B719" s="9" t="str">
        <f t="shared" si="440"/>
        <v>SPS4</v>
      </c>
      <c r="C719" s="9" t="str">
        <f t="shared" si="456"/>
        <v>CH</v>
      </c>
      <c r="D719" s="2" t="s">
        <v>434</v>
      </c>
      <c r="E719" s="9" t="s">
        <v>8</v>
      </c>
      <c r="F719" s="17">
        <f>F720</f>
        <v>0</v>
      </c>
      <c r="G719" s="17">
        <f t="shared" ref="G719:K719" si="457">G720</f>
        <v>0</v>
      </c>
      <c r="H719" s="17">
        <f t="shared" si="457"/>
        <v>0</v>
      </c>
      <c r="I719" s="17">
        <f t="shared" si="457"/>
        <v>0</v>
      </c>
      <c r="J719" s="17">
        <f t="shared" si="457"/>
        <v>0</v>
      </c>
      <c r="K719" s="17">
        <f t="shared" si="457"/>
        <v>0</v>
      </c>
    </row>
    <row r="720" spans="2:11" x14ac:dyDescent="0.35">
      <c r="B720" s="5" t="str">
        <f t="shared" si="440"/>
        <v>SPS4</v>
      </c>
      <c r="C720" s="5" t="str">
        <f t="shared" ref="C720:C726" si="458">C719</f>
        <v>CH</v>
      </c>
      <c r="D720" t="s">
        <v>929</v>
      </c>
      <c r="E720" s="5" t="s">
        <v>8</v>
      </c>
      <c r="F720" s="18">
        <f>SUM(F721,F723)</f>
        <v>0</v>
      </c>
      <c r="G720" s="18">
        <f t="shared" ref="G720:K720" si="459">SUM(G721,G723)</f>
        <v>0</v>
      </c>
      <c r="H720" s="18">
        <f t="shared" si="459"/>
        <v>0</v>
      </c>
      <c r="I720" s="18">
        <f t="shared" si="459"/>
        <v>0</v>
      </c>
      <c r="J720" s="18">
        <f t="shared" si="459"/>
        <v>0</v>
      </c>
      <c r="K720" s="18">
        <f t="shared" si="459"/>
        <v>0</v>
      </c>
    </row>
    <row r="721" spans="2:13" x14ac:dyDescent="0.35">
      <c r="B721" s="5" t="str">
        <f t="shared" si="440"/>
        <v>SPS4</v>
      </c>
      <c r="C721" s="5" t="str">
        <f t="shared" si="458"/>
        <v>CH</v>
      </c>
      <c r="D721" t="s">
        <v>930</v>
      </c>
      <c r="E721" s="5" t="s">
        <v>8</v>
      </c>
      <c r="F721" s="18">
        <f>F722</f>
        <v>0</v>
      </c>
      <c r="G721" s="18">
        <f t="shared" ref="G721:K721" si="460">G722</f>
        <v>0</v>
      </c>
      <c r="H721" s="18">
        <f t="shared" si="460"/>
        <v>0</v>
      </c>
      <c r="I721" s="18">
        <f t="shared" si="460"/>
        <v>0</v>
      </c>
      <c r="J721" s="18">
        <f t="shared" si="460"/>
        <v>0</v>
      </c>
      <c r="K721" s="18">
        <f t="shared" si="460"/>
        <v>0</v>
      </c>
    </row>
    <row r="722" spans="2:13" x14ac:dyDescent="0.35">
      <c r="B722" s="5" t="str">
        <f t="shared" si="440"/>
        <v>SPS4</v>
      </c>
      <c r="C722" s="5" t="str">
        <f t="shared" si="458"/>
        <v>CH</v>
      </c>
      <c r="D722" t="s">
        <v>433</v>
      </c>
      <c r="E722" s="5" t="s">
        <v>8</v>
      </c>
      <c r="F722" s="10" cm="1">
        <f t="array" ref="F722">SUMPRODUCT(("SUP_H2NGA"=[1]OUT_SyntheticFuels!$C$4:$C$1000)*1,("H2"=[1]OUT_SyntheticFuels!$A$4:$A$1000)*1,("Var_Fin"=[1]OUT_SyntheticFuels!$B$4:$B$1000)*1,[1]OUT_SyntheticFuels!E$4:E$1000)</f>
        <v>0</v>
      </c>
      <c r="G722" s="10" cm="1">
        <f t="array" ref="G722">SUMPRODUCT(("SUP_H2NGA"=[1]OUT_SyntheticFuels!$C$4:$C$1000)*1,("H2"=[1]OUT_SyntheticFuels!$A$4:$A$1000)*1,("Var_Fin"=[1]OUT_SyntheticFuels!$B$4:$B$1000)*1,[1]OUT_SyntheticFuels!F$4:F$1000)</f>
        <v>0</v>
      </c>
      <c r="H722" s="10" cm="1">
        <f t="array" ref="H722">SUMPRODUCT(("SUP_H2NGA"=[1]OUT_SyntheticFuels!$C$4:$C$1000)*1,("H2"=[1]OUT_SyntheticFuels!$A$4:$A$1000)*1,("Var_Fin"=[1]OUT_SyntheticFuels!$B$4:$B$1000)*1,[1]OUT_SyntheticFuels!G$4:G$1000)</f>
        <v>0</v>
      </c>
      <c r="I722" s="10" cm="1">
        <f t="array" ref="I722">SUMPRODUCT(("SUP_H2NGA"=[1]OUT_SyntheticFuels!$C$4:$C$1000)*1,("H2"=[1]OUT_SyntheticFuels!$A$4:$A$1000)*1,("Var_Fin"=[1]OUT_SyntheticFuels!$B$4:$B$1000)*1,[1]OUT_SyntheticFuels!H$4:H$1000)</f>
        <v>0</v>
      </c>
      <c r="J722" s="10" cm="1">
        <f t="array" ref="J722">SUMPRODUCT(("SUP_H2NGA"=[1]OUT_SyntheticFuels!$C$4:$C$1000)*1,("H2"=[1]OUT_SyntheticFuels!$A$4:$A$1000)*1,("Var_Fin"=[1]OUT_SyntheticFuels!$B$4:$B$1000)*1,[1]OUT_SyntheticFuels!I$4:I$1000)</f>
        <v>0</v>
      </c>
      <c r="K722" s="10" cm="1">
        <f t="array" ref="K722">SUMPRODUCT(("SUP_H2NGA"=[1]OUT_SyntheticFuels!$C$4:$C$1000)*1,("H2"=[1]OUT_SyntheticFuels!$A$4:$A$1000)*1,("Var_Fin"=[1]OUT_SyntheticFuels!$B$4:$B$1000)*1,[1]OUT_SyntheticFuels!J$4:J$1000)</f>
        <v>0</v>
      </c>
    </row>
    <row r="723" spans="2:13" x14ac:dyDescent="0.35">
      <c r="B723" s="5" t="str">
        <f t="shared" si="440"/>
        <v>SPS4</v>
      </c>
      <c r="C723" s="5" t="str">
        <f t="shared" si="458"/>
        <v>CH</v>
      </c>
      <c r="D723" t="s">
        <v>931</v>
      </c>
      <c r="E723" s="5" t="s">
        <v>8</v>
      </c>
      <c r="F723" s="18">
        <f>SUM(F724:F726)</f>
        <v>0</v>
      </c>
      <c r="G723" s="18">
        <f t="shared" ref="G723:K723" si="461">SUM(G724:G726)</f>
        <v>0</v>
      </c>
      <c r="H723" s="18">
        <f t="shared" si="461"/>
        <v>0</v>
      </c>
      <c r="I723" s="18">
        <f t="shared" si="461"/>
        <v>0</v>
      </c>
      <c r="J723" s="18">
        <f t="shared" si="461"/>
        <v>0</v>
      </c>
      <c r="K723" s="18">
        <f t="shared" si="461"/>
        <v>0</v>
      </c>
    </row>
    <row r="724" spans="2:13" x14ac:dyDescent="0.35">
      <c r="B724" s="5" t="str">
        <f t="shared" si="440"/>
        <v>SPS4</v>
      </c>
      <c r="C724" s="5" t="str">
        <f t="shared" si="458"/>
        <v>CH</v>
      </c>
      <c r="D724" t="s">
        <v>448</v>
      </c>
      <c r="E724" s="5" t="s">
        <v>8</v>
      </c>
      <c r="F724" s="10" cm="1">
        <f t="array" ref="F724">SUMPRODUCT(("SUP_H2DSL"=[1]OUT_SyntheticFuels!$C$4:$C$1000)*1,("H2"=[1]OUT_SyntheticFuels!$A$4:$A$1000)*1,("Var_Fin"=[1]OUT_SyntheticFuels!$B$4:$B$1000)*1,[1]OUT_SyntheticFuels!E$4:E$1000)*IFERROR(F716/SUM(F716,F718),0)</f>
        <v>0</v>
      </c>
      <c r="G724" s="10" cm="1">
        <f t="array" ref="G724">SUMPRODUCT(("SUP_H2DSL"=[1]OUT_SyntheticFuels!$C$4:$C$1000)*1,("H2"=[1]OUT_SyntheticFuels!$A$4:$A$1000)*1,("Var_Fin"=[1]OUT_SyntheticFuels!$B$4:$B$1000)*1,[1]OUT_SyntheticFuels!F$4:F$1000)*IFERROR(G716/SUM(G716,G718),0)</f>
        <v>0</v>
      </c>
      <c r="H724" s="10" cm="1">
        <f t="array" ref="H724">SUMPRODUCT(("SUP_H2DSL"=[1]OUT_SyntheticFuels!$C$4:$C$1000)*1,("H2"=[1]OUT_SyntheticFuels!$A$4:$A$1000)*1,("Var_Fin"=[1]OUT_SyntheticFuels!$B$4:$B$1000)*1,[1]OUT_SyntheticFuels!G$4:G$1000)*IFERROR(H716/SUM(H716,H718),0)</f>
        <v>0</v>
      </c>
      <c r="I724" s="10" cm="1">
        <f t="array" ref="I724">SUMPRODUCT(("SUP_H2DSL"=[1]OUT_SyntheticFuels!$C$4:$C$1000)*1,("H2"=[1]OUT_SyntheticFuels!$A$4:$A$1000)*1,("Var_Fin"=[1]OUT_SyntheticFuels!$B$4:$B$1000)*1,[1]OUT_SyntheticFuels!H$4:H$1000)*IFERROR(I716/SUM(I716,I718),0)</f>
        <v>0</v>
      </c>
      <c r="J724" s="10" cm="1">
        <f t="array" ref="J724">SUMPRODUCT(("SUP_H2DSL"=[1]OUT_SyntheticFuels!$C$4:$C$1000)*1,("H2"=[1]OUT_SyntheticFuels!$A$4:$A$1000)*1,("Var_Fin"=[1]OUT_SyntheticFuels!$B$4:$B$1000)*1,[1]OUT_SyntheticFuels!I$4:I$1000)*IFERROR(J716/SUM(J716,J718),0)</f>
        <v>0</v>
      </c>
      <c r="K724" s="10" cm="1">
        <f t="array" ref="K724">SUMPRODUCT(("SUP_H2DSL"=[1]OUT_SyntheticFuels!$C$4:$C$1000)*1,("H2"=[1]OUT_SyntheticFuels!$A$4:$A$1000)*1,("Var_Fin"=[1]OUT_SyntheticFuels!$B$4:$B$1000)*1,[1]OUT_SyntheticFuels!J$4:J$1000)*IFERROR(K716/SUM(K716,K718),0)</f>
        <v>0</v>
      </c>
    </row>
    <row r="725" spans="2:13" x14ac:dyDescent="0.35">
      <c r="B725" s="5" t="str">
        <f t="shared" si="440"/>
        <v>SPS4</v>
      </c>
      <c r="C725" s="5" t="str">
        <f t="shared" si="458"/>
        <v>CH</v>
      </c>
      <c r="D725" t="s">
        <v>449</v>
      </c>
      <c r="E725" s="5" t="s">
        <v>8</v>
      </c>
      <c r="F725" s="10" cm="1">
        <f t="array" ref="F725">SUMPRODUCT(("SUP_H2GSL"=[1]OUT_SyntheticFuels!$C$4:$C$1000)*1,("H2"=[1]OUT_SyntheticFuels!$A$4:$A$1000)*1,("Var_Fin"=[1]OUT_SyntheticFuels!$B$4:$B$1000)*1,[1]OUT_SyntheticFuels!E$4:E$1000)</f>
        <v>0</v>
      </c>
      <c r="G725" s="10" cm="1">
        <f t="array" ref="G725">SUMPRODUCT(("SUP_H2GSL"=[1]OUT_SyntheticFuels!$C$4:$C$1000)*1,("H2"=[1]OUT_SyntheticFuels!$A$4:$A$1000)*1,("Var_Fin"=[1]OUT_SyntheticFuels!$B$4:$B$1000)*1,[1]OUT_SyntheticFuels!F$4:F$1000)</f>
        <v>0</v>
      </c>
      <c r="H725" s="10" cm="1">
        <f t="array" ref="H725">SUMPRODUCT(("SUP_H2GSL"=[1]OUT_SyntheticFuels!$C$4:$C$1000)*1,("H2"=[1]OUT_SyntheticFuels!$A$4:$A$1000)*1,("Var_Fin"=[1]OUT_SyntheticFuels!$B$4:$B$1000)*1,[1]OUT_SyntheticFuels!G$4:G$1000)</f>
        <v>0</v>
      </c>
      <c r="I725" s="10" cm="1">
        <f t="array" ref="I725">SUMPRODUCT(("SUP_H2GSL"=[1]OUT_SyntheticFuels!$C$4:$C$1000)*1,("H2"=[1]OUT_SyntheticFuels!$A$4:$A$1000)*1,("Var_Fin"=[1]OUT_SyntheticFuels!$B$4:$B$1000)*1,[1]OUT_SyntheticFuels!H$4:H$1000)</f>
        <v>0</v>
      </c>
      <c r="J725" s="10" cm="1">
        <f t="array" ref="J725">SUMPRODUCT(("SUP_H2GSL"=[1]OUT_SyntheticFuels!$C$4:$C$1000)*1,("H2"=[1]OUT_SyntheticFuels!$A$4:$A$1000)*1,("Var_Fin"=[1]OUT_SyntheticFuels!$B$4:$B$1000)*1,[1]OUT_SyntheticFuels!I$4:I$1000)</f>
        <v>0</v>
      </c>
      <c r="K725" s="10" cm="1">
        <f t="array" ref="K725">SUMPRODUCT(("SUP_H2GSL"=[1]OUT_SyntheticFuels!$C$4:$C$1000)*1,("H2"=[1]OUT_SyntheticFuels!$A$4:$A$1000)*1,("Var_Fin"=[1]OUT_SyntheticFuels!$B$4:$B$1000)*1,[1]OUT_SyntheticFuels!J$4:J$1000)</f>
        <v>0</v>
      </c>
    </row>
    <row r="726" spans="2:13" x14ac:dyDescent="0.35">
      <c r="B726" s="5" t="str">
        <f t="shared" si="440"/>
        <v>SPS4</v>
      </c>
      <c r="C726" s="5" t="str">
        <f t="shared" si="458"/>
        <v>CH</v>
      </c>
      <c r="D726" t="s">
        <v>450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SUMPRODUCT(("SUP_H2DSL"=[1]OUT_SyntheticFuels!$C$4:$C$1000)*1,("H2"=[1]OUT_SyntheticFuels!$A$4:$A$1000)*1,("Var_Fin"=[1]OUT_SyntheticFuels!$B$4:$B$1000)*1,[1]OUT_SyntheticFuels!E$4:E$1000)-F724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SUMPRODUCT(("SUP_H2DSL"=[1]OUT_SyntheticFuels!$C$4:$C$1000)*1,("H2"=[1]OUT_SyntheticFuels!$A$4:$A$1000)*1,("Var_Fin"=[1]OUT_SyntheticFuels!$B$4:$B$1000)*1,[1]OUT_SyntheticFuels!F$4:F$1000)-G724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SUMPRODUCT(("SUP_H2DSL"=[1]OUT_SyntheticFuels!$C$4:$C$1000)*1,("H2"=[1]OUT_SyntheticFuels!$A$4:$A$1000)*1,("Var_Fin"=[1]OUT_SyntheticFuels!$B$4:$B$1000)*1,[1]OUT_SyntheticFuels!G$4:G$1000)-H724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SUMPRODUCT(("SUP_H2DSL"=[1]OUT_SyntheticFuels!$C$4:$C$1000)*1,("H2"=[1]OUT_SyntheticFuels!$A$4:$A$1000)*1,("Var_Fin"=[1]OUT_SyntheticFuels!$B$4:$B$1000)*1,[1]OUT_SyntheticFuels!H$4:H$1000)-I724</f>
        <v>0</v>
      </c>
      <c r="J726" s="10" cm="1">
        <f t="array" ref="J726">SUMPRODUCT(("SUP_H2DSL"=[1]OUT_SyntheticFuels!$C$4:$C$1000)*1,("H2"=[1]OUT_SyntheticFuels!$A$4:$A$1000)*1,("Var_Fin"=[1]OUT_SyntheticFuels!$B$4:$B$1000)*1,[1]OUT_SyntheticFuels!I$4:I$1000)-J724</f>
        <v>0</v>
      </c>
      <c r="K726" s="10" cm="1">
        <f t="array" ref="K726">SUMPRODUCT(("SUP_H2DSL"=[1]OUT_SyntheticFuels!$C$4:$C$1000)*1,("H2"=[1]OUT_SyntheticFuels!$A$4:$A$1000)*1,("Var_Fin"=[1]OUT_SyntheticFuels!$B$4:$B$1000)*1,[1]OUT_SyntheticFuels!J$4:J$1000)-K724</f>
        <v>0</v>
      </c>
    </row>
    <row r="727" spans="2:13" x14ac:dyDescent="0.35">
      <c r="B727" s="9" t="str">
        <f t="shared" si="440"/>
        <v>SPS4</v>
      </c>
      <c r="C727" s="9" t="str">
        <f>C726</f>
        <v>CH</v>
      </c>
      <c r="D727" s="2" t="s">
        <v>440</v>
      </c>
      <c r="E727" s="9" t="s">
        <v>240</v>
      </c>
      <c r="F727" s="14" t="s">
        <v>292</v>
      </c>
      <c r="G727" s="14" t="s">
        <v>292</v>
      </c>
      <c r="H727" s="14" t="s">
        <v>292</v>
      </c>
      <c r="I727" s="14" t="s">
        <v>292</v>
      </c>
      <c r="J727" s="14" t="s">
        <v>292</v>
      </c>
      <c r="K727" s="14" t="s">
        <v>292</v>
      </c>
    </row>
    <row r="728" spans="2:13" x14ac:dyDescent="0.35">
      <c r="B728" s="5" t="str">
        <f t="shared" si="440"/>
        <v>SPS4</v>
      </c>
      <c r="C728" s="5" t="str">
        <f t="shared" ref="C728:C733" si="462">C727</f>
        <v>CH</v>
      </c>
      <c r="D728" t="s">
        <v>436</v>
      </c>
      <c r="E728" s="5" t="s">
        <v>240</v>
      </c>
      <c r="F728" s="14" t="str">
        <f>IFERROR(F714/F722,"-")</f>
        <v>-</v>
      </c>
      <c r="G728" s="14" t="str">
        <f t="shared" ref="G728:K728" si="463">IFERROR(G714/G722,"-")</f>
        <v>-</v>
      </c>
      <c r="H728" s="14" t="str">
        <f t="shared" si="463"/>
        <v>-</v>
      </c>
      <c r="I728" s="14" t="str">
        <f t="shared" si="463"/>
        <v>-</v>
      </c>
      <c r="J728" s="14" t="str">
        <f t="shared" si="463"/>
        <v>-</v>
      </c>
      <c r="K728" s="14" t="str">
        <f t="shared" si="463"/>
        <v>-</v>
      </c>
    </row>
    <row r="729" spans="2:13" x14ac:dyDescent="0.35">
      <c r="B729" s="5" t="str">
        <f t="shared" si="440"/>
        <v>SPS4</v>
      </c>
      <c r="C729" s="5" t="str">
        <f t="shared" si="462"/>
        <v>CH</v>
      </c>
      <c r="D729" t="s">
        <v>437</v>
      </c>
      <c r="E729" s="5" t="s">
        <v>240</v>
      </c>
      <c r="F729" s="16" t="str">
        <f>IFERROR(F716/F724,"-")</f>
        <v>-</v>
      </c>
      <c r="G729" s="16" t="str">
        <f t="shared" ref="G729:K729" si="464">IFERROR(G716/G724,"-")</f>
        <v>-</v>
      </c>
      <c r="H729" s="16" t="str">
        <f t="shared" si="464"/>
        <v>-</v>
      </c>
      <c r="I729" s="16" t="str">
        <f t="shared" si="464"/>
        <v>-</v>
      </c>
      <c r="J729" s="16" t="str">
        <f t="shared" si="464"/>
        <v>-</v>
      </c>
      <c r="K729" s="16" t="str">
        <f t="shared" si="464"/>
        <v>-</v>
      </c>
      <c r="L729" s="9"/>
      <c r="M729" s="9"/>
    </row>
    <row r="730" spans="2:13" x14ac:dyDescent="0.35">
      <c r="B730" s="5" t="str">
        <f t="shared" si="440"/>
        <v>SPS4</v>
      </c>
      <c r="C730" s="5" t="str">
        <f t="shared" si="462"/>
        <v>CH</v>
      </c>
      <c r="D730" t="s">
        <v>438</v>
      </c>
      <c r="E730" s="5" t="s">
        <v>240</v>
      </c>
      <c r="F730" s="16" t="str">
        <f>IFERROR(F717/F725,"-")</f>
        <v>-</v>
      </c>
      <c r="G730" s="16" t="str">
        <f t="shared" ref="G730:K730" si="465">IFERROR(G717/G725,"-")</f>
        <v>-</v>
      </c>
      <c r="H730" s="16" t="str">
        <f t="shared" si="465"/>
        <v>-</v>
      </c>
      <c r="I730" s="16" t="str">
        <f t="shared" si="465"/>
        <v>-</v>
      </c>
      <c r="J730" s="16" t="str">
        <f t="shared" si="465"/>
        <v>-</v>
      </c>
      <c r="K730" s="16" t="str">
        <f t="shared" si="465"/>
        <v>-</v>
      </c>
      <c r="L730" s="9"/>
      <c r="M730" s="9"/>
    </row>
    <row r="731" spans="2:13" x14ac:dyDescent="0.35">
      <c r="B731" s="5" t="str">
        <f t="shared" si="440"/>
        <v>SPS4</v>
      </c>
      <c r="C731" s="5" t="str">
        <f t="shared" si="462"/>
        <v>CH</v>
      </c>
      <c r="D731" t="s">
        <v>439</v>
      </c>
      <c r="E731" s="5" t="s">
        <v>240</v>
      </c>
      <c r="F731" s="16" t="str">
        <f>IFERROR(F718/F726,"-")</f>
        <v>-</v>
      </c>
      <c r="G731" s="16" t="str">
        <f t="shared" ref="G731:K731" si="466">IFERROR(G718/G726,"-")</f>
        <v>-</v>
      </c>
      <c r="H731" s="16" t="str">
        <f t="shared" si="466"/>
        <v>-</v>
      </c>
      <c r="I731" s="16" t="str">
        <f t="shared" si="466"/>
        <v>-</v>
      </c>
      <c r="J731" s="16" t="str">
        <f t="shared" si="466"/>
        <v>-</v>
      </c>
      <c r="K731" s="16" t="str">
        <f t="shared" si="466"/>
        <v>-</v>
      </c>
      <c r="L731" s="9"/>
      <c r="M731" s="9"/>
    </row>
    <row r="732" spans="2:13" x14ac:dyDescent="0.35">
      <c r="B732" s="5" t="str">
        <f t="shared" si="440"/>
        <v>SPS4</v>
      </c>
      <c r="C732" s="5" t="str">
        <f t="shared" si="462"/>
        <v>CH</v>
      </c>
      <c r="D732" s="2" t="s">
        <v>444</v>
      </c>
      <c r="E732" s="9" t="s">
        <v>442</v>
      </c>
      <c r="F732" s="17">
        <f>F733</f>
        <v>0</v>
      </c>
      <c r="G732" s="17">
        <f t="shared" ref="G732" si="467">G733</f>
        <v>0</v>
      </c>
      <c r="H732" s="17">
        <f t="shared" ref="H732" si="468">H733</f>
        <v>0</v>
      </c>
      <c r="I732" s="17">
        <f t="shared" ref="I732" si="469">I733</f>
        <v>0</v>
      </c>
      <c r="J732" s="17">
        <f t="shared" ref="J732" si="470">J733</f>
        <v>0</v>
      </c>
      <c r="K732" s="17">
        <f t="shared" ref="K732" si="471">K733</f>
        <v>0</v>
      </c>
      <c r="L732" s="9"/>
      <c r="M732" s="9"/>
    </row>
    <row r="733" spans="2:13" x14ac:dyDescent="0.35">
      <c r="B733" s="5" t="str">
        <f t="shared" si="440"/>
        <v>SPS4</v>
      </c>
      <c r="C733" s="5" t="str">
        <f t="shared" si="462"/>
        <v>CH</v>
      </c>
      <c r="D733" t="s">
        <v>443</v>
      </c>
      <c r="E733" s="5" t="s">
        <v>442</v>
      </c>
      <c r="F733" s="18">
        <f>SUM(F737,F739)</f>
        <v>0</v>
      </c>
      <c r="G733" s="18">
        <f t="shared" ref="G733" si="472">SUM(G737,G739)</f>
        <v>0</v>
      </c>
      <c r="H733" s="18">
        <f t="shared" ref="H733" si="473">SUM(H737,H739)</f>
        <v>0</v>
      </c>
      <c r="I733" s="18">
        <f t="shared" ref="I733" si="474">SUM(I737,I739)</f>
        <v>0</v>
      </c>
      <c r="J733" s="18">
        <f t="shared" ref="J733" si="475">SUM(J737,J739)</f>
        <v>0</v>
      </c>
      <c r="K733" s="18">
        <f t="shared" ref="K733" si="476">SUM(K737,K739)</f>
        <v>0</v>
      </c>
      <c r="L733" s="9"/>
      <c r="M733" s="9"/>
    </row>
    <row r="734" spans="2:13" x14ac:dyDescent="0.35">
      <c r="B734" s="5" t="str">
        <f t="shared" si="440"/>
        <v>SPS4</v>
      </c>
      <c r="C734" s="5" t="str">
        <f t="shared" ref="C734:C736" si="477">C733</f>
        <v>CH</v>
      </c>
      <c r="D734" t="s">
        <v>445</v>
      </c>
      <c r="E734" s="5" t="s">
        <v>442</v>
      </c>
      <c r="F734" s="18">
        <v>0</v>
      </c>
      <c r="G734" s="18">
        <v>0</v>
      </c>
      <c r="H734" s="18">
        <v>0</v>
      </c>
      <c r="I734" s="18">
        <v>0</v>
      </c>
      <c r="J734" s="18" t="e" cm="1">
        <f t="array" ref="J734">SUMPRODUCT(("CHPWSTCCS"=[1]OUT_CO2util!$C$3:$C$1000)*1+("EWOD-CCS"=[1]OUT_CO2util!$C$3:$C$1000)*1+("SUP_WODH2CCS"=[1]OUT_CO2util!$C$3:$C$1000)*1+("EWSTINCCS"=[1]OUT_CO2util!$C$3:$C$1000)*1,("Var_fout"=[1]OUT_CO2util!$B$3:$B$1000)*1,("CO2_O"=[1]OUT_CO2util!$A$3:$A$1000)*1,[1]OUT_CO2util!D$3:D$1000)/SUMPRODUCT(("Var_fout"=[1]OUT_CO2util!$B$3:$B$1000)*1,("CO2_O"=[1]OUT_CO2util!$A$3:$A$1000)*1,[1]OUT_CO2util!D$3:D$1000)*J733</f>
        <v>#DIV/0!</v>
      </c>
      <c r="K734" s="18" t="e" cm="1">
        <f t="array" ref="K734">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E$3:E$1000)/SUMPRODUCT(("Var_fout"=[1]OUT_CO2util!$B$3:$B$1000)*1,("CO2_O"=[1]OUT_CO2util!$A$3:$A$1000)*1,[1]OUT_CO2util!E$3:E$1000)*K733</f>
        <v>#DIV/0!</v>
      </c>
      <c r="L734" s="9"/>
      <c r="M734" s="9"/>
    </row>
    <row r="735" spans="2:13" x14ac:dyDescent="0.35">
      <c r="B735" s="5" t="str">
        <f t="shared" si="440"/>
        <v>SPS4</v>
      </c>
      <c r="C735" s="5" t="str">
        <f t="shared" si="477"/>
        <v>CH</v>
      </c>
      <c r="D735" t="s">
        <v>446</v>
      </c>
      <c r="E735" s="5" t="s">
        <v>442</v>
      </c>
      <c r="F735" s="18">
        <v>0</v>
      </c>
      <c r="G735" s="18">
        <v>0</v>
      </c>
      <c r="H735" s="18">
        <v>0</v>
      </c>
      <c r="I735" s="18">
        <v>0</v>
      </c>
      <c r="J735" s="18" t="e">
        <f>J733-J734-J736</f>
        <v>#DIV/0!</v>
      </c>
      <c r="K735" s="18" t="e">
        <f>K733-K734-K736</f>
        <v>#DIV/0!</v>
      </c>
      <c r="L735" s="9"/>
      <c r="M735" s="9"/>
    </row>
    <row r="736" spans="2:13" x14ac:dyDescent="0.35">
      <c r="B736" s="5" t="str">
        <f t="shared" si="440"/>
        <v>SPS4</v>
      </c>
      <c r="C736" s="5" t="str">
        <f t="shared" si="477"/>
        <v>CH</v>
      </c>
      <c r="D736" t="s">
        <v>455</v>
      </c>
      <c r="E736" s="5" t="s">
        <v>442</v>
      </c>
      <c r="F736" s="18">
        <v>0</v>
      </c>
      <c r="G736" s="18">
        <v>0</v>
      </c>
      <c r="H736" s="18">
        <v>0</v>
      </c>
      <c r="I736" s="18">
        <v>0</v>
      </c>
      <c r="J736" s="18" t="e" cm="1">
        <f t="array" ref="J736">SUMPRODUCT(("SUP_DAC"=[1]OUT_CO2util!$C$3:$C$1000)*1,("Var_fout"=[1]OUT_CO2util!$B$3:$B$1000)*1,("CO2_O"=[1]OUT_CO2util!$A$3:$A$1000)*1,[1]OUT_CO2util!D$3:D$1000)/SUMPRODUCT(("Var_fout"=[1]OUT_CO2util!$B$3:$B$1000)*1,("CO2_O"=[1]OUT_CO2util!$A$3:$A$1000)*1,[1]OUT_CO2util!D$3:D$1000)*J733</f>
        <v>#DIV/0!</v>
      </c>
      <c r="K736" s="18" t="e" cm="1">
        <f t="array" ref="K736">SUMPRODUCT(("SUP_DAC"=[1]OUT_CO2util!$C$3:$C$1000)*1,("Var_fout"=[1]OUT_CO2util!$B$3:$B$1000)*1,("CO2_O"=[1]OUT_CO2util!$A$3:$A$1000)*1,[1]OUT_CO2util!E$3:E$1000)/SUMPRODUCT(("Var_fout"=[1]OUT_CO2util!$B$3:$B$1000)*1,("CO2_O"=[1]OUT_CO2util!$A$3:$A$1000)*1,[1]OUT_CO2util!E$3:E$1000)*K733</f>
        <v>#DIV/0!</v>
      </c>
      <c r="L736" s="9"/>
    </row>
    <row r="737" spans="2:13" x14ac:dyDescent="0.35">
      <c r="B737" s="5" t="str">
        <f t="shared" si="440"/>
        <v>SPS4</v>
      </c>
      <c r="C737" s="5" t="str">
        <f>C733</f>
        <v>CH</v>
      </c>
      <c r="D737" t="s">
        <v>932</v>
      </c>
      <c r="E737" s="5" t="s">
        <v>442</v>
      </c>
      <c r="F737" s="18">
        <f>F738</f>
        <v>0</v>
      </c>
      <c r="G737" s="18">
        <f t="shared" ref="G737" si="478">G738</f>
        <v>0</v>
      </c>
      <c r="H737" s="18">
        <f t="shared" ref="H737" si="479">H738</f>
        <v>0</v>
      </c>
      <c r="I737" s="18">
        <f t="shared" ref="I737" si="480">I738</f>
        <v>0</v>
      </c>
      <c r="J737" s="18">
        <f t="shared" ref="J737" si="481">J738</f>
        <v>0</v>
      </c>
      <c r="K737" s="18">
        <f t="shared" ref="K737" si="482">K738</f>
        <v>0</v>
      </c>
      <c r="L737" s="9"/>
    </row>
    <row r="738" spans="2:13" x14ac:dyDescent="0.35">
      <c r="B738" s="5" t="str">
        <f t="shared" si="440"/>
        <v>SPS4</v>
      </c>
      <c r="C738" s="5" t="str">
        <f>C737</f>
        <v>CH</v>
      </c>
      <c r="D738" t="s">
        <v>451</v>
      </c>
      <c r="E738" s="5" t="s">
        <v>442</v>
      </c>
      <c r="F738" s="10" cm="1">
        <f t="array" ref="F738">SUMPRODUCT(("SUP_H2NGA"=[1]OUT_SyntheticFuels!$C$4:$C$1000)*1,("CO2_M"=[1]OUT_SyntheticFuels!$A$4:$A$1000)*1,("Var_Fin"=[1]OUT_SyntheticFuels!$B$4:$B$1000)*1,[1]OUT_SyntheticFuels!E$4:E$1000)/1000</f>
        <v>0</v>
      </c>
      <c r="G738" s="10" cm="1">
        <f t="array" ref="G738">SUMPRODUCT(("SUP_H2NGA"=[1]OUT_SyntheticFuels!$C$4:$C$1000)*1,("CO2_M"=[1]OUT_SyntheticFuels!$A$4:$A$1000)*1,("Var_Fin"=[1]OUT_SyntheticFuels!$B$4:$B$1000)*1,[1]OUT_SyntheticFuels!F$4:F$1000)/1000</f>
        <v>0</v>
      </c>
      <c r="H738" s="10" cm="1">
        <f t="array" ref="H738">SUMPRODUCT(("SUP_H2NGA"=[1]OUT_SyntheticFuels!$C$4:$C$1000)*1,("CO2_M"=[1]OUT_SyntheticFuels!$A$4:$A$1000)*1,("Var_Fin"=[1]OUT_SyntheticFuels!$B$4:$B$1000)*1,[1]OUT_SyntheticFuels!G$4:G$1000)/1000</f>
        <v>0</v>
      </c>
      <c r="I738" s="10" cm="1">
        <f t="array" ref="I738">SUMPRODUCT(("SUP_H2NGA"=[1]OUT_SyntheticFuels!$C$4:$C$1000)*1,("CO2_M"=[1]OUT_SyntheticFuels!$A$4:$A$1000)*1,("Var_Fin"=[1]OUT_SyntheticFuels!$B$4:$B$1000)*1,[1]OUT_SyntheticFuels!H$4:H$1000)/1000</f>
        <v>0</v>
      </c>
      <c r="J738" s="10" cm="1">
        <f t="array" ref="J738">SUMPRODUCT(("SUP_H2NGA"=[1]OUT_SyntheticFuels!$C$4:$C$1000)*1,("CO2_M"=[1]OUT_SyntheticFuels!$A$4:$A$1000)*1,("Var_Fin"=[1]OUT_SyntheticFuels!$B$4:$B$1000)*1,[1]OUT_SyntheticFuels!I$4:I$1000)/1000</f>
        <v>0</v>
      </c>
      <c r="K738" s="10" cm="1">
        <f t="array" ref="K738">SUMPRODUCT(("SUP_H2NGA"=[1]OUT_SyntheticFuels!$C$4:$C$1000)*1,("CO2_M"=[1]OUT_SyntheticFuels!$A$4:$A$1000)*1,("Var_Fin"=[1]OUT_SyntheticFuels!$B$4:$B$1000)*1,[1]OUT_SyntheticFuels!J$4:J$1000)/1000</f>
        <v>0</v>
      </c>
      <c r="L738" s="9"/>
    </row>
    <row r="739" spans="2:13" x14ac:dyDescent="0.35">
      <c r="B739" s="5" t="str">
        <f t="shared" si="440"/>
        <v>SPS4</v>
      </c>
      <c r="C739" s="5" t="str">
        <f t="shared" ref="C739:C742" si="483">C738</f>
        <v>CH</v>
      </c>
      <c r="D739" t="s">
        <v>933</v>
      </c>
      <c r="E739" s="5" t="s">
        <v>442</v>
      </c>
      <c r="F739" s="18">
        <f>SUM(F740:F742)</f>
        <v>0</v>
      </c>
      <c r="G739" s="18">
        <f t="shared" ref="G739" si="484">SUM(G740:G742)</f>
        <v>0</v>
      </c>
      <c r="H739" s="18">
        <f t="shared" ref="H739" si="485">SUM(H740:H742)</f>
        <v>0</v>
      </c>
      <c r="I739" s="18">
        <f t="shared" ref="I739" si="486">SUM(I740:I742)</f>
        <v>0</v>
      </c>
      <c r="J739" s="18">
        <f t="shared" ref="J739" si="487">SUM(J740:J742)</f>
        <v>0</v>
      </c>
      <c r="K739" s="18">
        <f t="shared" ref="K739" si="488">SUM(K740:K742)</f>
        <v>0</v>
      </c>
      <c r="L739" s="9"/>
    </row>
    <row r="740" spans="2:13" x14ac:dyDescent="0.35">
      <c r="B740" s="5" t="str">
        <f t="shared" si="440"/>
        <v>SPS4</v>
      </c>
      <c r="C740" s="5" t="str">
        <f t="shared" si="483"/>
        <v>CH</v>
      </c>
      <c r="D740" t="s">
        <v>452</v>
      </c>
      <c r="E740" s="5" t="s">
        <v>442</v>
      </c>
      <c r="F740" s="10" cm="1">
        <f t="array" ref="F740">SUMPRODUCT(("SUP_H2DSL"=[1]OUT_SyntheticFuels!$C$4:$C$1000)*1,("co2_m"=[1]OUT_SyntheticFuels!$A$4:$A$1000)*1,("Var_Fin"=[1]OUT_SyntheticFuels!$B$4:$B$1000)*1,[1]OUT_SyntheticFuels!E$4:E$1000)*IFERROR(F716/SUM(F716,F718),0)/1000</f>
        <v>0</v>
      </c>
      <c r="G740" s="10" cm="1">
        <f t="array" ref="G740">SUMPRODUCT(("SUP_H2DSL"=[1]OUT_SyntheticFuels!$C$4:$C$1000)*1,("co2_m"=[1]OUT_SyntheticFuels!$A$4:$A$1000)*1,("Var_Fin"=[1]OUT_SyntheticFuels!$B$4:$B$1000)*1,[1]OUT_SyntheticFuels!F$4:F$1000)*IFERROR(G716/SUM(G716,G718),0)/1000</f>
        <v>0</v>
      </c>
      <c r="H740" s="10" cm="1">
        <f t="array" ref="H740">SUMPRODUCT(("SUP_H2DSL"=[1]OUT_SyntheticFuels!$C$4:$C$1000)*1,("co2_m"=[1]OUT_SyntheticFuels!$A$4:$A$1000)*1,("Var_Fin"=[1]OUT_SyntheticFuels!$B$4:$B$1000)*1,[1]OUT_SyntheticFuels!G$4:G$1000)*IFERROR(H716/SUM(H716,H718),0)/1000</f>
        <v>0</v>
      </c>
      <c r="I740" s="10" cm="1">
        <f t="array" ref="I740">SUMPRODUCT(("SUP_H2DSL"=[1]OUT_SyntheticFuels!$C$4:$C$1000)*1,("co2_m"=[1]OUT_SyntheticFuels!$A$4:$A$1000)*1,("Var_Fin"=[1]OUT_SyntheticFuels!$B$4:$B$1000)*1,[1]OUT_SyntheticFuels!H$4:H$1000)*IFERROR(I716/SUM(I716,I718),0)/1000</f>
        <v>0</v>
      </c>
      <c r="J740" s="10" cm="1">
        <f t="array" ref="J740">SUMPRODUCT(("SUP_H2DSL"=[1]OUT_SyntheticFuels!$C$4:$C$1000)*1,("co2_m"=[1]OUT_SyntheticFuels!$A$4:$A$1000)*1,("Var_Fin"=[1]OUT_SyntheticFuels!$B$4:$B$1000)*1,[1]OUT_SyntheticFuels!I$4:I$1000)*IFERROR(J716/SUM(J716,J718),0)/1000</f>
        <v>0</v>
      </c>
      <c r="K740" s="10" cm="1">
        <f t="array" ref="K740">SUMPRODUCT(("SUP_H2DSL"=[1]OUT_SyntheticFuels!$C$4:$C$1000)*1,("co2_m"=[1]OUT_SyntheticFuels!$A$4:$A$1000)*1,("Var_Fin"=[1]OUT_SyntheticFuels!$B$4:$B$1000)*1,[1]OUT_SyntheticFuels!J$4:J$1000)*IFERROR(K716/SUM(K716,K718),0)/1000</f>
        <v>0</v>
      </c>
      <c r="L740" s="9"/>
    </row>
    <row r="741" spans="2:13" x14ac:dyDescent="0.35">
      <c r="B741" s="5" t="str">
        <f t="shared" si="440"/>
        <v>SPS4</v>
      </c>
      <c r="C741" s="5" t="str">
        <f t="shared" si="483"/>
        <v>CH</v>
      </c>
      <c r="D741" t="s">
        <v>453</v>
      </c>
      <c r="E741" s="5" t="s">
        <v>442</v>
      </c>
      <c r="F741" s="10" cm="1">
        <f t="array" ref="F741">SUMPRODUCT(("SUP_H2GSL"=[1]OUT_SyntheticFuels!$C$4:$C$1000)*1,("co2_m"=[1]OUT_SyntheticFuels!$A$4:$A$1000)*1,("Var_Fin"=[1]OUT_SyntheticFuels!$B$4:$B$1000)*1,[1]OUT_SyntheticFuels!E$4:E$1000)/1000</f>
        <v>0</v>
      </c>
      <c r="G741" s="10" cm="1">
        <f t="array" ref="G741">SUMPRODUCT(("SUP_H2GSL"=[1]OUT_SyntheticFuels!$C$4:$C$1000)*1,("co2_m"=[1]OUT_SyntheticFuels!$A$4:$A$1000)*1,("Var_Fin"=[1]OUT_SyntheticFuels!$B$4:$B$1000)*1,[1]OUT_SyntheticFuels!F$4:F$1000)/1000</f>
        <v>0</v>
      </c>
      <c r="H741" s="10" cm="1">
        <f t="array" ref="H741">SUMPRODUCT(("SUP_H2GSL"=[1]OUT_SyntheticFuels!$C$4:$C$1000)*1,("co2_m"=[1]OUT_SyntheticFuels!$A$4:$A$1000)*1,("Var_Fin"=[1]OUT_SyntheticFuels!$B$4:$B$1000)*1,[1]OUT_SyntheticFuels!G$4:G$1000)/1000</f>
        <v>0</v>
      </c>
      <c r="I741" s="10" cm="1">
        <f t="array" ref="I741">SUMPRODUCT(("SUP_H2GSL"=[1]OUT_SyntheticFuels!$C$4:$C$1000)*1,("co2_m"=[1]OUT_SyntheticFuels!$A$4:$A$1000)*1,("Var_Fin"=[1]OUT_SyntheticFuels!$B$4:$B$1000)*1,[1]OUT_SyntheticFuels!H$4:H$1000)/1000</f>
        <v>0</v>
      </c>
      <c r="J741" s="10" cm="1">
        <f t="array" ref="J741">SUMPRODUCT(("SUP_H2GSL"=[1]OUT_SyntheticFuels!$C$4:$C$1000)*1,("co2_m"=[1]OUT_SyntheticFuels!$A$4:$A$1000)*1,("Var_Fin"=[1]OUT_SyntheticFuels!$B$4:$B$1000)*1,[1]OUT_SyntheticFuels!I$4:I$1000)/1000</f>
        <v>0</v>
      </c>
      <c r="K741" s="10" cm="1">
        <f t="array" ref="K741">SUMPRODUCT(("SUP_H2GSL"=[1]OUT_SyntheticFuels!$C$4:$C$1000)*1,("co2_m"=[1]OUT_SyntheticFuels!$A$4:$A$1000)*1,("Var_Fin"=[1]OUT_SyntheticFuels!$B$4:$B$1000)*1,[1]OUT_SyntheticFuels!J$4:J$1000)/1000</f>
        <v>0</v>
      </c>
      <c r="L741" s="9"/>
      <c r="M741" s="9"/>
    </row>
    <row r="742" spans="2:13" x14ac:dyDescent="0.35">
      <c r="B742" s="5" t="str">
        <f t="shared" si="440"/>
        <v>SPS4</v>
      </c>
      <c r="C742" s="5" t="str">
        <f t="shared" si="483"/>
        <v>CH</v>
      </c>
      <c r="D742" t="s">
        <v>454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SUMPRODUCT(("SUP_H2DSL"=[1]OUT_SyntheticFuels!$C$4:$C$1000)*1,("co2_m"=[1]OUT_SyntheticFuels!$A$4:$A$1000)*1,("Var_Fin"=[1]OUT_SyntheticFuels!$B$4:$B$1000)*1,[1]OUT_SyntheticFuels!E$4:E$1000)/1000-F740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SUMPRODUCT(("SUP_H2DSL"=[1]OUT_SyntheticFuels!$C$4:$C$1000)*1,("co2_m"=[1]OUT_SyntheticFuels!$A$4:$A$1000)*1,("Var_Fin"=[1]OUT_SyntheticFuels!$B$4:$B$1000)*1,[1]OUT_SyntheticFuels!F$4:F$1000)/1000-G740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SUMPRODUCT(("SUP_H2DSL"=[1]OUT_SyntheticFuels!$C$4:$C$1000)*1,("co2_m"=[1]OUT_SyntheticFuels!$A$4:$A$1000)*1,("Var_Fin"=[1]OUT_SyntheticFuels!$B$4:$B$1000)*1,[1]OUT_SyntheticFuels!G$4:G$1000)/1000-H740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SUMPRODUCT(("SUP_H2DSL"=[1]OUT_SyntheticFuels!$C$4:$C$1000)*1,("co2_m"=[1]OUT_SyntheticFuels!$A$4:$A$1000)*1,("Var_Fin"=[1]OUT_SyntheticFuels!$B$4:$B$1000)*1,[1]OUT_SyntheticFuels!H$4:H$1000)/1000-I740</f>
        <v>0</v>
      </c>
      <c r="J742" s="10" cm="1">
        <f t="array" ref="J742">SUMPRODUCT(("SUP_H2DSL"=[1]OUT_SyntheticFuels!$C$4:$C$1000)*1,("co2_m"=[1]OUT_SyntheticFuels!$A$4:$A$1000)*1,("Var_Fin"=[1]OUT_SyntheticFuels!$B$4:$B$1000)*1,[1]OUT_SyntheticFuels!I$4:I$1000)/1000-J740</f>
        <v>0</v>
      </c>
      <c r="K742" s="10" cm="1">
        <f t="array" ref="K742">SUMPRODUCT(("SUP_H2DSL"=[1]OUT_SyntheticFuels!$C$4:$C$1000)*1,("co2_m"=[1]OUT_SyntheticFuels!$A$4:$A$1000)*1,("Var_Fin"=[1]OUT_SyntheticFuels!$B$4:$B$1000)*1,[1]OUT_SyntheticFuels!J$4:J$1000)/1000-K740</f>
        <v>0</v>
      </c>
      <c r="L742" s="9"/>
      <c r="M742" s="9"/>
    </row>
    <row r="743" spans="2:13" x14ac:dyDescent="0.35">
      <c r="B743" s="5" t="str">
        <f t="shared" si="440"/>
        <v>SPS4</v>
      </c>
      <c r="C743" s="5" t="str">
        <f>C739</f>
        <v>CH</v>
      </c>
      <c r="D743" t="s">
        <v>934</v>
      </c>
      <c r="E743" s="5" t="s">
        <v>442</v>
      </c>
      <c r="F743" s="18">
        <f>IFERROR(F$734/F$733,0)*F737</f>
        <v>0</v>
      </c>
      <c r="G743" s="18">
        <f t="shared" ref="G743:K743" si="489">IFERROR(G$734/G$733,0)*G737</f>
        <v>0</v>
      </c>
      <c r="H743" s="18">
        <f t="shared" si="489"/>
        <v>0</v>
      </c>
      <c r="I743" s="18">
        <f t="shared" si="489"/>
        <v>0</v>
      </c>
      <c r="J743" s="18">
        <f t="shared" si="489"/>
        <v>0</v>
      </c>
      <c r="K743" s="18">
        <f t="shared" si="489"/>
        <v>0</v>
      </c>
    </row>
    <row r="744" spans="2:13" x14ac:dyDescent="0.35">
      <c r="B744" s="5" t="str">
        <f t="shared" si="440"/>
        <v>SPS4</v>
      </c>
      <c r="C744" s="5" t="str">
        <f>C743</f>
        <v>CH</v>
      </c>
      <c r="D744" t="s">
        <v>456</v>
      </c>
      <c r="E744" s="5" t="s">
        <v>442</v>
      </c>
      <c r="F744" s="18">
        <f t="shared" ref="F744:K744" si="490">IFERROR(F$734/F$733,0)*F738</f>
        <v>0</v>
      </c>
      <c r="G744" s="18">
        <f t="shared" si="490"/>
        <v>0</v>
      </c>
      <c r="H744" s="18">
        <f t="shared" si="490"/>
        <v>0</v>
      </c>
      <c r="I744" s="18">
        <f t="shared" si="490"/>
        <v>0</v>
      </c>
      <c r="J744" s="18">
        <f t="shared" si="490"/>
        <v>0</v>
      </c>
      <c r="K744" s="18">
        <f t="shared" si="490"/>
        <v>0</v>
      </c>
    </row>
    <row r="745" spans="2:13" x14ac:dyDescent="0.35">
      <c r="B745" s="5" t="str">
        <f t="shared" si="440"/>
        <v>SPS4</v>
      </c>
      <c r="C745" s="5" t="str">
        <f t="shared" ref="C745:C748" si="491">C744</f>
        <v>CH</v>
      </c>
      <c r="D745" t="s">
        <v>935</v>
      </c>
      <c r="E745" s="5" t="s">
        <v>442</v>
      </c>
      <c r="F745" s="18">
        <f t="shared" ref="F745:K745" si="492">IFERROR(F$734/F$733,0)*F739</f>
        <v>0</v>
      </c>
      <c r="G745" s="18">
        <f t="shared" si="492"/>
        <v>0</v>
      </c>
      <c r="H745" s="18">
        <f t="shared" si="492"/>
        <v>0</v>
      </c>
      <c r="I745" s="18">
        <f t="shared" si="492"/>
        <v>0</v>
      </c>
      <c r="J745" s="18">
        <f t="shared" si="492"/>
        <v>0</v>
      </c>
      <c r="K745" s="18">
        <f t="shared" si="492"/>
        <v>0</v>
      </c>
    </row>
    <row r="746" spans="2:13" x14ac:dyDescent="0.35">
      <c r="B746" s="5" t="str">
        <f t="shared" si="440"/>
        <v>SPS4</v>
      </c>
      <c r="C746" s="5" t="str">
        <f t="shared" si="491"/>
        <v>CH</v>
      </c>
      <c r="D746" t="s">
        <v>457</v>
      </c>
      <c r="E746" s="5" t="s">
        <v>442</v>
      </c>
      <c r="F746" s="18">
        <f t="shared" ref="F746:K746" si="493">IFERROR(F$734/F$733,0)*F740</f>
        <v>0</v>
      </c>
      <c r="G746" s="18">
        <f t="shared" si="493"/>
        <v>0</v>
      </c>
      <c r="H746" s="18">
        <f t="shared" si="493"/>
        <v>0</v>
      </c>
      <c r="I746" s="18">
        <f t="shared" si="493"/>
        <v>0</v>
      </c>
      <c r="J746" s="18">
        <f t="shared" si="493"/>
        <v>0</v>
      </c>
      <c r="K746" s="18">
        <f t="shared" si="493"/>
        <v>0</v>
      </c>
    </row>
    <row r="747" spans="2:13" x14ac:dyDescent="0.35">
      <c r="B747" s="5" t="str">
        <f t="shared" si="440"/>
        <v>SPS4</v>
      </c>
      <c r="C747" s="5" t="str">
        <f t="shared" si="491"/>
        <v>CH</v>
      </c>
      <c r="D747" t="s">
        <v>458</v>
      </c>
      <c r="E747" s="5" t="s">
        <v>442</v>
      </c>
      <c r="F747" s="18">
        <f t="shared" ref="F747:K747" si="494">IFERROR(F$734/F$733,0)*F741</f>
        <v>0</v>
      </c>
      <c r="G747" s="18">
        <f t="shared" si="494"/>
        <v>0</v>
      </c>
      <c r="H747" s="18">
        <f t="shared" si="494"/>
        <v>0</v>
      </c>
      <c r="I747" s="18">
        <f t="shared" si="494"/>
        <v>0</v>
      </c>
      <c r="J747" s="18">
        <f t="shared" si="494"/>
        <v>0</v>
      </c>
      <c r="K747" s="18">
        <f t="shared" si="494"/>
        <v>0</v>
      </c>
    </row>
    <row r="748" spans="2:13" x14ac:dyDescent="0.35">
      <c r="B748" s="5" t="str">
        <f t="shared" si="440"/>
        <v>SPS4</v>
      </c>
      <c r="C748" s="5" t="str">
        <f t="shared" si="491"/>
        <v>CH</v>
      </c>
      <c r="D748" t="s">
        <v>459</v>
      </c>
      <c r="E748" s="5" t="s">
        <v>442</v>
      </c>
      <c r="F748" s="18">
        <f t="shared" ref="F748:K748" si="495">IFERROR(F$734/F$733,0)*F742</f>
        <v>0</v>
      </c>
      <c r="G748" s="18">
        <f t="shared" si="495"/>
        <v>0</v>
      </c>
      <c r="H748" s="18">
        <f t="shared" si="495"/>
        <v>0</v>
      </c>
      <c r="I748" s="18">
        <f t="shared" si="495"/>
        <v>0</v>
      </c>
      <c r="J748" s="18">
        <f t="shared" si="495"/>
        <v>0</v>
      </c>
      <c r="K748" s="18">
        <f t="shared" si="495"/>
        <v>0</v>
      </c>
    </row>
    <row r="749" spans="2:13" x14ac:dyDescent="0.35">
      <c r="B749" s="5" t="str">
        <f t="shared" si="440"/>
        <v>SPS4</v>
      </c>
      <c r="C749" s="5" t="str">
        <f>C745</f>
        <v>CH</v>
      </c>
      <c r="D749" t="s">
        <v>936</v>
      </c>
      <c r="E749" s="5" t="s">
        <v>442</v>
      </c>
      <c r="F749" s="18">
        <f>IFERROR(F$735/F$733,0)*F737</f>
        <v>0</v>
      </c>
      <c r="G749" s="18">
        <f t="shared" ref="G749:K749" si="496">IFERROR(G$735/G$733,0)*G737</f>
        <v>0</v>
      </c>
      <c r="H749" s="18">
        <f t="shared" si="496"/>
        <v>0</v>
      </c>
      <c r="I749" s="18">
        <f t="shared" si="496"/>
        <v>0</v>
      </c>
      <c r="J749" s="18">
        <f t="shared" si="496"/>
        <v>0</v>
      </c>
      <c r="K749" s="18">
        <f t="shared" si="496"/>
        <v>0</v>
      </c>
    </row>
    <row r="750" spans="2:13" x14ac:dyDescent="0.35">
      <c r="B750" s="5" t="str">
        <f t="shared" si="440"/>
        <v>SPS4</v>
      </c>
      <c r="C750" s="5" t="str">
        <f>C749</f>
        <v>CH</v>
      </c>
      <c r="D750" t="s">
        <v>460</v>
      </c>
      <c r="E750" s="5" t="s">
        <v>442</v>
      </c>
      <c r="F750" s="18">
        <f t="shared" ref="F750:K750" si="497">IFERROR(F$735/F$733,0)*F738</f>
        <v>0</v>
      </c>
      <c r="G750" s="18">
        <f t="shared" si="497"/>
        <v>0</v>
      </c>
      <c r="H750" s="18">
        <f t="shared" si="497"/>
        <v>0</v>
      </c>
      <c r="I750" s="18">
        <f t="shared" si="497"/>
        <v>0</v>
      </c>
      <c r="J750" s="18">
        <f t="shared" si="497"/>
        <v>0</v>
      </c>
      <c r="K750" s="18">
        <f t="shared" si="497"/>
        <v>0</v>
      </c>
    </row>
    <row r="751" spans="2:13" x14ac:dyDescent="0.35">
      <c r="B751" s="5" t="str">
        <f t="shared" si="440"/>
        <v>SPS4</v>
      </c>
      <c r="C751" s="5" t="str">
        <f t="shared" ref="C751:C754" si="498">C750</f>
        <v>CH</v>
      </c>
      <c r="D751" t="s">
        <v>937</v>
      </c>
      <c r="E751" s="5" t="s">
        <v>442</v>
      </c>
      <c r="F751" s="18">
        <f t="shared" ref="F751:K751" si="499">IFERROR(F$735/F$733,0)*F739</f>
        <v>0</v>
      </c>
      <c r="G751" s="18">
        <f t="shared" si="499"/>
        <v>0</v>
      </c>
      <c r="H751" s="18">
        <f t="shared" si="499"/>
        <v>0</v>
      </c>
      <c r="I751" s="18">
        <f t="shared" si="499"/>
        <v>0</v>
      </c>
      <c r="J751" s="18">
        <f t="shared" si="499"/>
        <v>0</v>
      </c>
      <c r="K751" s="18">
        <f t="shared" si="499"/>
        <v>0</v>
      </c>
    </row>
    <row r="752" spans="2:13" x14ac:dyDescent="0.35">
      <c r="B752" s="5" t="str">
        <f t="shared" si="440"/>
        <v>SPS4</v>
      </c>
      <c r="C752" s="5" t="str">
        <f t="shared" si="498"/>
        <v>CH</v>
      </c>
      <c r="D752" t="s">
        <v>461</v>
      </c>
      <c r="E752" s="5" t="s">
        <v>442</v>
      </c>
      <c r="F752" s="18">
        <f t="shared" ref="F752:K752" si="500">IFERROR(F$735/F$733,0)*F740</f>
        <v>0</v>
      </c>
      <c r="G752" s="18">
        <f t="shared" si="500"/>
        <v>0</v>
      </c>
      <c r="H752" s="18">
        <f t="shared" si="500"/>
        <v>0</v>
      </c>
      <c r="I752" s="18">
        <f t="shared" si="500"/>
        <v>0</v>
      </c>
      <c r="J752" s="18">
        <f t="shared" si="500"/>
        <v>0</v>
      </c>
      <c r="K752" s="18">
        <f t="shared" si="500"/>
        <v>0</v>
      </c>
    </row>
    <row r="753" spans="2:13" x14ac:dyDescent="0.35">
      <c r="B753" s="5" t="str">
        <f t="shared" si="440"/>
        <v>SPS4</v>
      </c>
      <c r="C753" s="5" t="str">
        <f t="shared" si="498"/>
        <v>CH</v>
      </c>
      <c r="D753" t="s">
        <v>462</v>
      </c>
      <c r="E753" s="5" t="s">
        <v>442</v>
      </c>
      <c r="F753" s="18">
        <f t="shared" ref="F753:K753" si="501">IFERROR(F$735/F$733,0)*F741</f>
        <v>0</v>
      </c>
      <c r="G753" s="18">
        <f t="shared" si="501"/>
        <v>0</v>
      </c>
      <c r="H753" s="18">
        <f t="shared" si="501"/>
        <v>0</v>
      </c>
      <c r="I753" s="18">
        <f t="shared" si="501"/>
        <v>0</v>
      </c>
      <c r="J753" s="18">
        <f t="shared" si="501"/>
        <v>0</v>
      </c>
      <c r="K753" s="18">
        <f t="shared" si="501"/>
        <v>0</v>
      </c>
    </row>
    <row r="754" spans="2:13" x14ac:dyDescent="0.35">
      <c r="B754" s="5" t="str">
        <f t="shared" si="440"/>
        <v>SPS4</v>
      </c>
      <c r="C754" s="5" t="str">
        <f t="shared" si="498"/>
        <v>CH</v>
      </c>
      <c r="D754" t="s">
        <v>463</v>
      </c>
      <c r="E754" s="5" t="s">
        <v>442</v>
      </c>
      <c r="F754" s="18">
        <f t="shared" ref="F754:K754" si="502">IFERROR(F$735/F$733,0)*F742</f>
        <v>0</v>
      </c>
      <c r="G754" s="18">
        <f t="shared" si="502"/>
        <v>0</v>
      </c>
      <c r="H754" s="18">
        <f t="shared" si="502"/>
        <v>0</v>
      </c>
      <c r="I754" s="18">
        <f t="shared" si="502"/>
        <v>0</v>
      </c>
      <c r="J754" s="18">
        <f t="shared" si="502"/>
        <v>0</v>
      </c>
      <c r="K754" s="18">
        <f t="shared" si="502"/>
        <v>0</v>
      </c>
    </row>
    <row r="755" spans="2:13" x14ac:dyDescent="0.35">
      <c r="B755" s="5" t="str">
        <f t="shared" si="440"/>
        <v>SPS4</v>
      </c>
      <c r="C755" s="5" t="str">
        <f>C751</f>
        <v>CH</v>
      </c>
      <c r="D755" t="s">
        <v>938</v>
      </c>
      <c r="E755" s="5" t="s">
        <v>442</v>
      </c>
      <c r="F755" s="18">
        <f>IFERROR(F$736/F$733,0)*F737</f>
        <v>0</v>
      </c>
      <c r="G755" s="18">
        <f t="shared" ref="G755:K755" si="503">IFERROR(G$736/G$733,0)*G737</f>
        <v>0</v>
      </c>
      <c r="H755" s="18">
        <f t="shared" si="503"/>
        <v>0</v>
      </c>
      <c r="I755" s="18">
        <f t="shared" si="503"/>
        <v>0</v>
      </c>
      <c r="J755" s="18">
        <f t="shared" si="503"/>
        <v>0</v>
      </c>
      <c r="K755" s="18">
        <f t="shared" si="503"/>
        <v>0</v>
      </c>
    </row>
    <row r="756" spans="2:13" x14ac:dyDescent="0.35">
      <c r="B756" s="5" t="str">
        <f t="shared" ref="B756:B819" si="504">B755</f>
        <v>SPS4</v>
      </c>
      <c r="C756" s="5" t="str">
        <f>C755</f>
        <v>CH</v>
      </c>
      <c r="D756" t="s">
        <v>464</v>
      </c>
      <c r="E756" s="5" t="s">
        <v>442</v>
      </c>
      <c r="F756" s="18">
        <f t="shared" ref="F756:K756" si="505">IFERROR(F$736/F$733,0)*F738</f>
        <v>0</v>
      </c>
      <c r="G756" s="18">
        <f t="shared" si="505"/>
        <v>0</v>
      </c>
      <c r="H756" s="18">
        <f t="shared" si="505"/>
        <v>0</v>
      </c>
      <c r="I756" s="18">
        <f t="shared" si="505"/>
        <v>0</v>
      </c>
      <c r="J756" s="18">
        <f t="shared" si="505"/>
        <v>0</v>
      </c>
      <c r="K756" s="18">
        <f t="shared" si="505"/>
        <v>0</v>
      </c>
    </row>
    <row r="757" spans="2:13" x14ac:dyDescent="0.35">
      <c r="B757" s="5" t="str">
        <f t="shared" si="504"/>
        <v>SPS4</v>
      </c>
      <c r="C757" s="5" t="str">
        <f t="shared" ref="C757:C760" si="506">C756</f>
        <v>CH</v>
      </c>
      <c r="D757" t="s">
        <v>939</v>
      </c>
      <c r="E757" s="5" t="s">
        <v>442</v>
      </c>
      <c r="F757" s="18">
        <f t="shared" ref="F757:K757" si="507">IFERROR(F$736/F$733,0)*F739</f>
        <v>0</v>
      </c>
      <c r="G757" s="18">
        <f t="shared" si="507"/>
        <v>0</v>
      </c>
      <c r="H757" s="18">
        <f t="shared" si="507"/>
        <v>0</v>
      </c>
      <c r="I757" s="18">
        <f t="shared" si="507"/>
        <v>0</v>
      </c>
      <c r="J757" s="18">
        <f t="shared" si="507"/>
        <v>0</v>
      </c>
      <c r="K757" s="18">
        <f t="shared" si="507"/>
        <v>0</v>
      </c>
    </row>
    <row r="758" spans="2:13" x14ac:dyDescent="0.35">
      <c r="B758" s="5" t="str">
        <f t="shared" si="504"/>
        <v>SPS4</v>
      </c>
      <c r="C758" s="5" t="str">
        <f t="shared" si="506"/>
        <v>CH</v>
      </c>
      <c r="D758" t="s">
        <v>465</v>
      </c>
      <c r="E758" s="5" t="s">
        <v>442</v>
      </c>
      <c r="F758" s="18">
        <f t="shared" ref="F758:K758" si="508">IFERROR(F$736/F$733,0)*F740</f>
        <v>0</v>
      </c>
      <c r="G758" s="18">
        <f t="shared" si="508"/>
        <v>0</v>
      </c>
      <c r="H758" s="18">
        <f t="shared" si="508"/>
        <v>0</v>
      </c>
      <c r="I758" s="18">
        <f t="shared" si="508"/>
        <v>0</v>
      </c>
      <c r="J758" s="18">
        <f t="shared" si="508"/>
        <v>0</v>
      </c>
      <c r="K758" s="18">
        <f t="shared" si="508"/>
        <v>0</v>
      </c>
    </row>
    <row r="759" spans="2:13" x14ac:dyDescent="0.35">
      <c r="B759" s="5" t="str">
        <f t="shared" si="504"/>
        <v>SPS4</v>
      </c>
      <c r="C759" s="5" t="str">
        <f t="shared" si="506"/>
        <v>CH</v>
      </c>
      <c r="D759" t="s">
        <v>466</v>
      </c>
      <c r="E759" s="5" t="s">
        <v>442</v>
      </c>
      <c r="F759" s="18">
        <f t="shared" ref="F759:K759" si="509">IFERROR(F$736/F$733,0)*F741</f>
        <v>0</v>
      </c>
      <c r="G759" s="18">
        <f t="shared" si="509"/>
        <v>0</v>
      </c>
      <c r="H759" s="18">
        <f t="shared" si="509"/>
        <v>0</v>
      </c>
      <c r="I759" s="18">
        <f t="shared" si="509"/>
        <v>0</v>
      </c>
      <c r="J759" s="18">
        <f t="shared" si="509"/>
        <v>0</v>
      </c>
      <c r="K759" s="18">
        <f t="shared" si="509"/>
        <v>0</v>
      </c>
    </row>
    <row r="760" spans="2:13" x14ac:dyDescent="0.35">
      <c r="B760" s="5" t="str">
        <f t="shared" si="504"/>
        <v>SPS4</v>
      </c>
      <c r="C760" s="5" t="str">
        <f t="shared" si="506"/>
        <v>CH</v>
      </c>
      <c r="D760" t="s">
        <v>467</v>
      </c>
      <c r="E760" s="5" t="s">
        <v>442</v>
      </c>
      <c r="F760" s="18">
        <f t="shared" ref="F760:K760" si="510">IFERROR(F$736/F$733,0)*F742</f>
        <v>0</v>
      </c>
      <c r="G760" s="18">
        <f t="shared" si="510"/>
        <v>0</v>
      </c>
      <c r="H760" s="18">
        <f t="shared" si="510"/>
        <v>0</v>
      </c>
      <c r="I760" s="18">
        <f t="shared" si="510"/>
        <v>0</v>
      </c>
      <c r="J760" s="18">
        <f t="shared" si="510"/>
        <v>0</v>
      </c>
      <c r="K760" s="18">
        <f t="shared" si="510"/>
        <v>0</v>
      </c>
    </row>
    <row r="761" spans="2:13" x14ac:dyDescent="0.35">
      <c r="B761" s="9" t="str">
        <f t="shared" si="504"/>
        <v>SPS4</v>
      </c>
      <c r="C761" s="9" t="str">
        <f t="shared" ref="C761:C775" si="511">C760</f>
        <v>CH</v>
      </c>
      <c r="D761" s="2" t="s">
        <v>496</v>
      </c>
      <c r="E761" s="9" t="s">
        <v>8</v>
      </c>
      <c r="F761" s="17">
        <f t="shared" ref="F761:K761" si="512">F762+F766+F776+F787+F789+F801+F803+F805+F809+F811+F813</f>
        <v>142.21776438398305</v>
      </c>
      <c r="G761" s="17">
        <f t="shared" si="512"/>
        <v>141.18303319151204</v>
      </c>
      <c r="H761" s="17">
        <f t="shared" si="512"/>
        <v>142.87529749181084</v>
      </c>
      <c r="I761" s="17">
        <f t="shared" si="512"/>
        <v>144.16666334101126</v>
      </c>
      <c r="J761" s="17">
        <f t="shared" si="512"/>
        <v>141.26248603416616</v>
      </c>
      <c r="K761" s="17">
        <f t="shared" si="512"/>
        <v>139.64053810557388</v>
      </c>
    </row>
    <row r="762" spans="2:13" x14ac:dyDescent="0.35">
      <c r="B762" s="5" t="str">
        <f t="shared" si="504"/>
        <v>SPS4</v>
      </c>
      <c r="C762" s="5" t="str">
        <f t="shared" si="511"/>
        <v>CH</v>
      </c>
      <c r="D762" t="s">
        <v>940</v>
      </c>
      <c r="E762" t="s">
        <v>8</v>
      </c>
      <c r="F762" s="18">
        <f>[1]Industry!B$11</f>
        <v>60.070067379975121</v>
      </c>
      <c r="G762" s="18">
        <f>[1]Industry!C$11</f>
        <v>62.576432696246016</v>
      </c>
      <c r="H762" s="18">
        <f>[1]Industry!D$11</f>
        <v>64.560712877347953</v>
      </c>
      <c r="I762" s="18">
        <f>[1]Industry!E$11</f>
        <v>66.635185181615753</v>
      </c>
      <c r="J762" s="18">
        <f>[1]Industry!F$11</f>
        <v>67.50566381543149</v>
      </c>
      <c r="K762" s="18">
        <f>[1]Industry!G$11</f>
        <v>68.11205077847417</v>
      </c>
    </row>
    <row r="763" spans="2:13" x14ac:dyDescent="0.35">
      <c r="B763" s="5" t="str">
        <f t="shared" si="504"/>
        <v>SPS4</v>
      </c>
      <c r="C763" s="5" t="str">
        <f t="shared" si="511"/>
        <v>CH</v>
      </c>
      <c r="D763" t="s">
        <v>758</v>
      </c>
      <c r="E763" t="s">
        <v>8</v>
      </c>
      <c r="F763" s="1">
        <f t="shared" ref="F763:J763" si="513">F762-F764-F765</f>
        <v>11.646975738532213</v>
      </c>
      <c r="G763" s="1">
        <f t="shared" si="513"/>
        <v>12.2589859326146</v>
      </c>
      <c r="H763" s="1">
        <f t="shared" si="513"/>
        <v>12.908027760628308</v>
      </c>
      <c r="I763" s="1">
        <f t="shared" si="513"/>
        <v>12.89095958705451</v>
      </c>
      <c r="J763" s="1">
        <f t="shared" si="513"/>
        <v>12.856955534837027</v>
      </c>
      <c r="K763" s="1">
        <f>K762-K764-K765</f>
        <v>12.823131572349425</v>
      </c>
      <c r="L763" s="1"/>
      <c r="M763" s="1"/>
    </row>
    <row r="764" spans="2:13" x14ac:dyDescent="0.35">
      <c r="B764" s="5" t="str">
        <f t="shared" si="504"/>
        <v>SPS4</v>
      </c>
      <c r="C764" s="5" t="str">
        <f t="shared" si="511"/>
        <v>CH</v>
      </c>
      <c r="D764" t="s">
        <v>721</v>
      </c>
      <c r="E764" t="s">
        <v>8</v>
      </c>
      <c r="F764" s="1" cm="1">
        <f t="array" ref="F764">SUMPRODUCT(([1]OUT_FinalEnergyCons!$B$4:$B$10000="Var_Fin")*1, ([1]OUT_FinalEnergyCons!$C$4:$C$10000="ITOT_ELC")*1, (ISNUMBER(SEARCH("ITOT-SWHELCHP",[1]OUT_FinalEnergyCons!$A$4:$A$10000)))*1,[1]OUT_FinalEnergyCons!D$4:D$10000)</f>
        <v>0.35969398927191076</v>
      </c>
      <c r="G764" s="1" cm="1">
        <f t="array" ref="G764">SUMPRODUCT(([1]OUT_FinalEnergyCons!$B$4:$B$10000="Var_Fin")*1, ([1]OUT_FinalEnergyCons!$C$4:$C$10000="ITOT_ELC")*1, (ISNUMBER(SEARCH("ITOT-SWHELCHP",[1]OUT_FinalEnergyCons!$A$4:$A$10000)))*1,[1]OUT_FinalEnergyCons!E$4:E$10000)</f>
        <v>0.4510706262502065</v>
      </c>
      <c r="H764" s="1" cm="1">
        <f t="array" ref="H764">SUMPRODUCT(([1]OUT_FinalEnergyCons!$B$4:$B$10000="Var_Fin")*1, ([1]OUT_FinalEnergyCons!$C$4:$C$10000="ITOT_ELC")*1, (ISNUMBER(SEARCH("ITOT-SWHELCHP",[1]OUT_FinalEnergyCons!$A$4:$A$10000)))*1,[1]OUT_FinalEnergyCons!F$4:F$10000)</f>
        <v>0.53663826561789885</v>
      </c>
      <c r="I764" s="1" cm="1">
        <f t="array" ref="I764">SUMPRODUCT(([1]OUT_FinalEnergyCons!$B$4:$B$10000="Var_Fin")*1, ([1]OUT_FinalEnergyCons!$C$4:$C$10000="ITOT_ELC")*1, (ISNUMBER(SEARCH("ITOT-SWHELCHP",[1]OUT_FinalEnergyCons!$A$4:$A$10000)))*1,[1]OUT_FinalEnergyCons!G$4:G$10000)</f>
        <v>1.2080964229645912</v>
      </c>
      <c r="J764" s="1" cm="1">
        <f t="array" ref="J764">SUMPRODUCT(([1]OUT_FinalEnergyCons!$B$4:$B$10000="Var_Fin")*1, ([1]OUT_FinalEnergyCons!$C$4:$C$10000="ITOT_ELC")*1, (ISNUMBER(SEARCH("ITOT-SWHELCHP",[1]OUT_FinalEnergyCons!$A$4:$A$10000)))*1,[1]OUT_FinalEnergyCons!H$4:H$10000)</f>
        <v>1.7582033951668563</v>
      </c>
      <c r="K764" s="1" cm="1">
        <f t="array" ref="K764">SUMPRODUCT(([1]OUT_FinalEnergyCons!$B$4:$B$10000="Var_Fin")*1, ([1]OUT_FinalEnergyCons!$C$4:$C$10000="ITOT_ELC")*1, (ISNUMBER(SEARCH("ITOT-SWHELCHP",[1]OUT_FinalEnergyCons!$A$4:$A$10000)))*1,[1]OUT_FinalEnergyCons!I$4:I$10000)</f>
        <v>1.7109642770030862</v>
      </c>
    </row>
    <row r="765" spans="2:13" x14ac:dyDescent="0.35">
      <c r="B765" s="5" t="str">
        <f t="shared" si="504"/>
        <v>SPS4</v>
      </c>
      <c r="C765" s="5" t="str">
        <f t="shared" si="511"/>
        <v>CH</v>
      </c>
      <c r="D765" t="s">
        <v>468</v>
      </c>
      <c r="E765" t="s">
        <v>8</v>
      </c>
      <c r="F765" s="1">
        <f>[1]Industry!B$11-[1]Industry!B$33</f>
        <v>48.063397652170998</v>
      </c>
      <c r="G765" s="1">
        <f>[1]Industry!C$11-[1]Industry!C$33</f>
        <v>49.866376137381209</v>
      </c>
      <c r="H765" s="1">
        <f>[1]Industry!D$11-[1]Industry!D$33</f>
        <v>51.11604685110175</v>
      </c>
      <c r="I765" s="1">
        <f>[1]Industry!E$11-[1]Industry!E$33</f>
        <v>52.536129171596656</v>
      </c>
      <c r="J765" s="1">
        <f>[1]Industry!F$11-[1]Industry!F$33</f>
        <v>52.890504885427603</v>
      </c>
      <c r="K765" s="1">
        <f>[1]Industry!G$11-[1]Industry!G$33</f>
        <v>53.57795492912166</v>
      </c>
    </row>
    <row r="766" spans="2:13" x14ac:dyDescent="0.35">
      <c r="B766" s="5" t="str">
        <f t="shared" si="504"/>
        <v>SPS4</v>
      </c>
      <c r="C766" s="5" t="str">
        <f t="shared" si="511"/>
        <v>CH</v>
      </c>
      <c r="D766" t="s">
        <v>469</v>
      </c>
      <c r="E766" t="s">
        <v>8</v>
      </c>
      <c r="F766" s="1">
        <f>SUM(F769,F774)</f>
        <v>11.627864704350687</v>
      </c>
      <c r="G766" s="1">
        <f t="shared" ref="G766:K766" si="514">SUM(G769,G774)</f>
        <v>10.698802060613827</v>
      </c>
      <c r="H766" s="1">
        <f t="shared" si="514"/>
        <v>7.978339924426388</v>
      </c>
      <c r="I766" s="1">
        <f t="shared" si="514"/>
        <v>6.4943251790766459</v>
      </c>
      <c r="J766" s="1">
        <f t="shared" si="514"/>
        <v>3.266753487852248</v>
      </c>
      <c r="K766" s="1">
        <f t="shared" si="514"/>
        <v>0.67983835803044124</v>
      </c>
    </row>
    <row r="767" spans="2:13" x14ac:dyDescent="0.35">
      <c r="B767" s="5" t="str">
        <f t="shared" si="504"/>
        <v>SPS4</v>
      </c>
      <c r="C767" s="5" t="str">
        <f t="shared" si="511"/>
        <v>CH</v>
      </c>
      <c r="D767" t="s">
        <v>470</v>
      </c>
      <c r="E767" t="s">
        <v>8</v>
      </c>
      <c r="F767" s="1">
        <f>SUM(F771,F775)</f>
        <v>8.8978452515518107</v>
      </c>
      <c r="G767" s="1">
        <f t="shared" ref="G767:K767" si="515">SUM(G771,G775)</f>
        <v>8.1052504335422881</v>
      </c>
      <c r="H767" s="1">
        <f t="shared" si="515"/>
        <v>7.9751169051881332</v>
      </c>
      <c r="I767" s="1">
        <f t="shared" si="515"/>
        <v>6.4937396693799414</v>
      </c>
      <c r="J767" s="1">
        <f t="shared" si="515"/>
        <v>3.2660598377192263</v>
      </c>
      <c r="K767" s="1">
        <f t="shared" si="515"/>
        <v>0.67983835803044124</v>
      </c>
    </row>
    <row r="768" spans="2:13" x14ac:dyDescent="0.35">
      <c r="B768" s="5" t="str">
        <f t="shared" si="504"/>
        <v>SPS4</v>
      </c>
      <c r="C768" s="5" t="str">
        <f t="shared" si="511"/>
        <v>CH</v>
      </c>
      <c r="D768" t="s">
        <v>471</v>
      </c>
      <c r="E768" t="s">
        <v>8</v>
      </c>
      <c r="F768" s="1">
        <f>F773</f>
        <v>2.7300194527988766</v>
      </c>
      <c r="G768" s="1">
        <f t="shared" ref="G768:K768" si="516">G773</f>
        <v>2.5935516270715397</v>
      </c>
      <c r="H768" s="1">
        <f t="shared" si="516"/>
        <v>3.2230192382543166E-3</v>
      </c>
      <c r="I768" s="1">
        <f t="shared" si="516"/>
        <v>5.8550969670420605E-4</v>
      </c>
      <c r="J768" s="1">
        <f t="shared" si="516"/>
        <v>6.9365013302147998E-4</v>
      </c>
      <c r="K768" s="1">
        <f t="shared" si="516"/>
        <v>0</v>
      </c>
    </row>
    <row r="769" spans="2:11" x14ac:dyDescent="0.35">
      <c r="B769" s="5" t="str">
        <f t="shared" si="504"/>
        <v>SPS4</v>
      </c>
      <c r="C769" s="5" t="str">
        <f t="shared" si="511"/>
        <v>CH</v>
      </c>
      <c r="D769" t="s">
        <v>941</v>
      </c>
      <c r="E769" t="s">
        <v>8</v>
      </c>
      <c r="F769" s="1">
        <f>SUM(F770,F772)</f>
        <v>11.627864704350687</v>
      </c>
      <c r="G769" s="1">
        <f t="shared" ref="G769:K769" si="517">SUM(G770,G772)</f>
        <v>10.698802060613827</v>
      </c>
      <c r="H769" s="1">
        <f t="shared" si="517"/>
        <v>7.9782571576447374</v>
      </c>
      <c r="I769" s="1">
        <f t="shared" si="517"/>
        <v>6.3500716158507062</v>
      </c>
      <c r="J769" s="1">
        <f t="shared" si="517"/>
        <v>1.9657503891644694</v>
      </c>
      <c r="K769" s="1">
        <f t="shared" si="517"/>
        <v>1.1476010266133758E-4</v>
      </c>
    </row>
    <row r="770" spans="2:11" x14ac:dyDescent="0.35">
      <c r="B770" s="5" t="str">
        <f t="shared" si="504"/>
        <v>SPS4</v>
      </c>
      <c r="C770" s="5" t="str">
        <f t="shared" si="511"/>
        <v>CH</v>
      </c>
      <c r="D770" t="s">
        <v>525</v>
      </c>
      <c r="E770" t="s">
        <v>8</v>
      </c>
      <c r="F770" s="1">
        <f>[1]Industry!B$34</f>
        <v>8.8978452515518107</v>
      </c>
      <c r="G770" s="1">
        <f>[1]Industry!C$34</f>
        <v>8.1052504335422881</v>
      </c>
      <c r="H770" s="1">
        <f>[1]Industry!D$34</f>
        <v>7.9750341384064827</v>
      </c>
      <c r="I770" s="1">
        <f>[1]Industry!E$34</f>
        <v>6.3494861061540018</v>
      </c>
      <c r="J770" s="1">
        <f>[1]Industry!F$34</f>
        <v>1.965056739031448</v>
      </c>
      <c r="K770" s="1">
        <f>[1]Industry!G$34</f>
        <v>1.1476010266133758E-4</v>
      </c>
    </row>
    <row r="771" spans="2:11" x14ac:dyDescent="0.35">
      <c r="B771" s="5" t="str">
        <f t="shared" si="504"/>
        <v>SPS4</v>
      </c>
      <c r="C771" s="5" t="str">
        <f t="shared" si="511"/>
        <v>CH</v>
      </c>
      <c r="D771" t="s">
        <v>526</v>
      </c>
      <c r="E771" t="s">
        <v>8</v>
      </c>
      <c r="F771" s="1">
        <f>F770</f>
        <v>8.8978452515518107</v>
      </c>
      <c r="G771" s="1">
        <f t="shared" ref="G771:K771" si="518">G770</f>
        <v>8.1052504335422881</v>
      </c>
      <c r="H771" s="1">
        <f t="shared" si="518"/>
        <v>7.9750341384064827</v>
      </c>
      <c r="I771" s="1">
        <f t="shared" si="518"/>
        <v>6.3494861061540018</v>
      </c>
      <c r="J771" s="1">
        <f t="shared" si="518"/>
        <v>1.965056739031448</v>
      </c>
      <c r="K771" s="1">
        <f t="shared" si="518"/>
        <v>1.1476010266133758E-4</v>
      </c>
    </row>
    <row r="772" spans="2:11" x14ac:dyDescent="0.35">
      <c r="B772" s="5" t="str">
        <f t="shared" si="504"/>
        <v>SPS4</v>
      </c>
      <c r="C772" s="5" t="str">
        <f t="shared" si="511"/>
        <v>CH</v>
      </c>
      <c r="D772" t="s">
        <v>527</v>
      </c>
      <c r="E772" t="s">
        <v>8</v>
      </c>
      <c r="F772" s="1">
        <f>[1]Industry!B$35</f>
        <v>2.7300194527988766</v>
      </c>
      <c r="G772" s="1">
        <f>[1]Industry!C$35</f>
        <v>2.5935516270715397</v>
      </c>
      <c r="H772" s="1">
        <f>[1]Industry!D$35</f>
        <v>3.2230192382543166E-3</v>
      </c>
      <c r="I772" s="1">
        <f>[1]Industry!E$35</f>
        <v>5.8550969670420605E-4</v>
      </c>
      <c r="J772" s="1">
        <f>[1]Industry!F$35</f>
        <v>6.9365013302147998E-4</v>
      </c>
      <c r="K772" s="1">
        <f>[1]Industry!G$35</f>
        <v>0</v>
      </c>
    </row>
    <row r="773" spans="2:11" x14ac:dyDescent="0.35">
      <c r="B773" s="5" t="str">
        <f t="shared" si="504"/>
        <v>SPS4</v>
      </c>
      <c r="C773" s="5" t="str">
        <f t="shared" si="511"/>
        <v>CH</v>
      </c>
      <c r="D773" t="s">
        <v>944</v>
      </c>
      <c r="E773" t="s">
        <v>8</v>
      </c>
      <c r="F773" s="1">
        <f>F772</f>
        <v>2.7300194527988766</v>
      </c>
      <c r="G773" s="1">
        <f t="shared" ref="G773:K773" si="519">G772</f>
        <v>2.5935516270715397</v>
      </c>
      <c r="H773" s="1">
        <f t="shared" si="519"/>
        <v>3.2230192382543166E-3</v>
      </c>
      <c r="I773" s="1">
        <f t="shared" si="519"/>
        <v>5.8550969670420605E-4</v>
      </c>
      <c r="J773" s="1">
        <f t="shared" si="519"/>
        <v>6.9365013302147998E-4</v>
      </c>
      <c r="K773" s="1">
        <f t="shared" si="519"/>
        <v>0</v>
      </c>
    </row>
    <row r="774" spans="2:11" x14ac:dyDescent="0.35">
      <c r="B774" s="5" t="str">
        <f t="shared" si="504"/>
        <v>SPS4</v>
      </c>
      <c r="C774" s="5" t="str">
        <f t="shared" si="511"/>
        <v>CH</v>
      </c>
      <c r="D774" t="s">
        <v>942</v>
      </c>
      <c r="E774" t="s">
        <v>8</v>
      </c>
      <c r="F774" s="1">
        <f>[1]Industry!B$36</f>
        <v>0</v>
      </c>
      <c r="G774" s="1">
        <f>[1]Industry!C$36</f>
        <v>0</v>
      </c>
      <c r="H774" s="1">
        <f>[1]Industry!D$36</f>
        <v>8.2766781650799194E-5</v>
      </c>
      <c r="I774" s="1">
        <f>[1]Industry!E$36</f>
        <v>0.14425356322593955</v>
      </c>
      <c r="J774" s="1">
        <f>[1]Industry!F$36</f>
        <v>1.3010030986877783</v>
      </c>
      <c r="K774" s="1">
        <f>[1]Industry!G$36</f>
        <v>0.67972359792777992</v>
      </c>
    </row>
    <row r="775" spans="2:11" x14ac:dyDescent="0.35">
      <c r="B775" s="5" t="str">
        <f t="shared" si="504"/>
        <v>SPS4</v>
      </c>
      <c r="C775" s="5" t="str">
        <f t="shared" si="511"/>
        <v>CH</v>
      </c>
      <c r="D775" t="s">
        <v>943</v>
      </c>
      <c r="E775" t="s">
        <v>8</v>
      </c>
      <c r="F775" s="1">
        <f>F774</f>
        <v>0</v>
      </c>
      <c r="G775" s="1">
        <f t="shared" ref="G775:K775" si="520">G774</f>
        <v>0</v>
      </c>
      <c r="H775" s="1">
        <f t="shared" si="520"/>
        <v>8.2766781650799194E-5</v>
      </c>
      <c r="I775" s="1">
        <f t="shared" si="520"/>
        <v>0.14425356322593955</v>
      </c>
      <c r="J775" s="1">
        <f t="shared" si="520"/>
        <v>1.3010030986877783</v>
      </c>
      <c r="K775" s="1">
        <f t="shared" si="520"/>
        <v>0.67972359792777992</v>
      </c>
    </row>
    <row r="776" spans="2:11" x14ac:dyDescent="0.35">
      <c r="B776" s="5" t="str">
        <f t="shared" si="504"/>
        <v>SPS4</v>
      </c>
      <c r="C776" s="5" t="str">
        <f t="shared" ref="C776:C777" si="521">C775</f>
        <v>CH</v>
      </c>
      <c r="D776" t="s">
        <v>472</v>
      </c>
      <c r="E776" t="s">
        <v>8</v>
      </c>
      <c r="F776" s="1">
        <f>SUM([1]Industry!B$37:B$39)</f>
        <v>35.989126534857029</v>
      </c>
      <c r="G776" s="1">
        <f>SUM([1]Industry!C$37:C$39)</f>
        <v>30.341671930853479</v>
      </c>
      <c r="H776" s="1">
        <f>SUM([1]Industry!D$37:D$39)</f>
        <v>36.230222565784381</v>
      </c>
      <c r="I776" s="1">
        <f>SUM([1]Industry!E$37:E$39)</f>
        <v>36.514405494922585</v>
      </c>
      <c r="J776" s="1">
        <f>SUM([1]Industry!F$37:F$39)</f>
        <v>33.932522825146904</v>
      </c>
      <c r="K776" s="1">
        <f>SUM([1]Industry!G$37:G$39)</f>
        <v>32.188426221238991</v>
      </c>
    </row>
    <row r="777" spans="2:11" x14ac:dyDescent="0.35">
      <c r="B777" s="5" t="str">
        <f t="shared" si="504"/>
        <v>SPS4</v>
      </c>
      <c r="C777" s="5" t="str">
        <f t="shared" si="521"/>
        <v>CH</v>
      </c>
      <c r="D777" t="s">
        <v>678</v>
      </c>
      <c r="E777" t="s">
        <v>8</v>
      </c>
      <c r="F777" s="1">
        <f>SUM([1]Industry!B$37:B$38)-F778</f>
        <v>35.538111732276889</v>
      </c>
      <c r="G777" s="1">
        <f>SUM([1]Industry!C$37:C$38)-G778</f>
        <v>29.660592084056443</v>
      </c>
      <c r="H777" s="1">
        <f>SUM([1]Industry!D$37:D$38)-H778</f>
        <v>33.520372673169504</v>
      </c>
      <c r="I777" s="1">
        <f>SUM([1]Industry!E$37:E$38)-I778</f>
        <v>30.952460755324399</v>
      </c>
      <c r="J777" s="1">
        <f>SUM([1]Industry!F$37:F$38)-J778</f>
        <v>27.51382239421601</v>
      </c>
      <c r="K777" s="1">
        <f>SUM([1]Industry!G$37:G$38)-K778</f>
        <v>21.047589474444912</v>
      </c>
    </row>
    <row r="778" spans="2:11" x14ac:dyDescent="0.35">
      <c r="B778" s="5" t="str">
        <f t="shared" si="504"/>
        <v>SPS4</v>
      </c>
      <c r="C778" s="5" t="str">
        <f t="shared" ref="C778" si="522">C777</f>
        <v>CH</v>
      </c>
      <c r="D778" t="s">
        <v>722</v>
      </c>
      <c r="E778" t="s">
        <v>8</v>
      </c>
      <c r="F778" s="1" cm="1">
        <f t="array" ref="F778">SUMPRODUCT(([1]OUT_FinalEnergyCons!$B$4:$B$10000="Var_Fin")*1,  ([1]OUT_FinalEnergyCons!$C$4:$C$10000="Inga")*1,(ISNUMBER(SEARCH("ITOT-SWHNGAHP",[1]OUT_FinalEnergyCons!$A$4:$A$10000)))*1,[1]OUT_FinalEnergyCons!H$4:H$10000)</f>
        <v>1.4253226293353892E-2</v>
      </c>
      <c r="G778" s="1" cm="1">
        <f t="array" ref="G778">SUMPRODUCT(([1]OUT_FinalEnergyCons!$B$4:$B$10000="Var_Fin")*1,  ([1]OUT_FinalEnergyCons!$C$4:$C$10000="Inga")*1,(ISNUMBER(SEARCH("ITOT-SWHNGAHP",[1]OUT_FinalEnergyCons!$A$4:$A$10000)))*1,[1]OUT_FinalEnergyCons!I$4:I$10000)</f>
        <v>0.1290057543121019</v>
      </c>
      <c r="H778" s="1" cm="1">
        <f t="array" ref="H778">SUMPRODUCT(([1]OUT_FinalEnergyCons!$B$4:$B$10000="Var_Fin")*1,  ([1]OUT_FinalEnergyCons!$C$4:$C$10000="Inga")*1,(ISNUMBER(SEARCH("ITOT-SWHNGAHP",[1]OUT_FinalEnergyCons!$A$4:$A$10000)))*1,[1]OUT_FinalEnergyCons!J$4:J$10000)</f>
        <v>0</v>
      </c>
      <c r="I778" s="1" cm="1">
        <f t="array" ref="I778">SUMPRODUCT(([1]OUT_FinalEnergyCons!$B$4:$B$10000="Var_Fin")*1,  ([1]OUT_FinalEnergyCons!$C$4:$C$10000="Inga")*1,(ISNUMBER(SEARCH("ITOT-SWHNGAHP",[1]OUT_FinalEnergyCons!$A$4:$A$10000)))*1,[1]OUT_FinalEnergyCons!K$4:K$10000)</f>
        <v>0</v>
      </c>
      <c r="J778" s="1" cm="1">
        <f t="array" ref="J778">SUMPRODUCT(([1]OUT_FinalEnergyCons!$B$4:$B$10000="Var_Fin")*1,  ([1]OUT_FinalEnergyCons!$C$4:$C$10000="Inga")*1,(ISNUMBER(SEARCH("ITOT-SWHNGAHP",[1]OUT_FinalEnergyCons!$A$4:$A$10000)))*1,[1]OUT_FinalEnergyCons!L$4:L$10000)</f>
        <v>0</v>
      </c>
      <c r="K778" s="1" cm="1">
        <f t="array" ref="K778">SUMPRODUCT(([1]OUT_FinalEnergyCons!$B$4:$B$10000="Var_Fin")*1,  ([1]OUT_FinalEnergyCons!$C$4:$C$10000="Inga")*1,(ISNUMBER(SEARCH("ITOT-SWHNGAHP",[1]OUT_FinalEnergyCons!$A$4:$A$10000)))*1,[1]OUT_FinalEnergyCons!M$4:M$10000)</f>
        <v>0</v>
      </c>
    </row>
    <row r="779" spans="2:11" x14ac:dyDescent="0.35">
      <c r="B779" s="5" t="str">
        <f t="shared" si="504"/>
        <v>SPS4</v>
      </c>
      <c r="C779" s="5" t="str">
        <f>C777</f>
        <v>CH</v>
      </c>
      <c r="D779" t="s">
        <v>473</v>
      </c>
      <c r="E779" t="s">
        <v>8</v>
      </c>
      <c r="F779" s="1">
        <f t="shared" ref="F779:K779" si="523">F776-F777</f>
        <v>0.45101480258013993</v>
      </c>
      <c r="G779" s="1">
        <f t="shared" si="523"/>
        <v>0.68107984679703648</v>
      </c>
      <c r="H779" s="1">
        <f t="shared" si="523"/>
        <v>2.7098498926148764</v>
      </c>
      <c r="I779" s="1">
        <f t="shared" si="523"/>
        <v>5.5619447395981858</v>
      </c>
      <c r="J779" s="1">
        <f t="shared" si="523"/>
        <v>6.4187004309308939</v>
      </c>
      <c r="K779" s="1">
        <f t="shared" si="523"/>
        <v>11.140836746794079</v>
      </c>
    </row>
    <row r="780" spans="2:11" x14ac:dyDescent="0.35">
      <c r="B780" s="5" t="str">
        <f t="shared" si="504"/>
        <v>SPS4</v>
      </c>
      <c r="C780" s="5" t="str">
        <f t="shared" ref="C780:C788" si="524">C779</f>
        <v>CH</v>
      </c>
      <c r="D780" t="s">
        <v>945</v>
      </c>
      <c r="E780" t="s">
        <v>8</v>
      </c>
      <c r="F780" s="1">
        <f>[1]Industry!B$37</f>
        <v>35.240517362265805</v>
      </c>
      <c r="G780" s="1">
        <f>[1]Industry!C$37</f>
        <v>29.789540535496815</v>
      </c>
      <c r="H780" s="1">
        <f>[1]Industry!D$37</f>
        <v>32.620257698997655</v>
      </c>
      <c r="I780" s="1">
        <f>[1]Industry!E$37</f>
        <v>28.406378939783433</v>
      </c>
      <c r="J780" s="1">
        <f>[1]Industry!F$37</f>
        <v>24.902925225313663</v>
      </c>
      <c r="K780" s="1">
        <f>[1]Industry!G$37</f>
        <v>18.425939755167693</v>
      </c>
    </row>
    <row r="781" spans="2:11" x14ac:dyDescent="0.35">
      <c r="B781" s="5" t="str">
        <f t="shared" si="504"/>
        <v>SPS4</v>
      </c>
      <c r="C781" s="5" t="str">
        <f t="shared" si="524"/>
        <v>CH</v>
      </c>
      <c r="D781" t="s">
        <v>679</v>
      </c>
      <c r="E781" t="s">
        <v>8</v>
      </c>
      <c r="F781" s="1">
        <f>[1]Industry!B$37*F777/SUM(F777:F778)</f>
        <v>35.226389158157737</v>
      </c>
      <c r="G781" s="1">
        <f>[1]Industry!C$37*G777/SUM(G777:G778)</f>
        <v>29.660535029338458</v>
      </c>
      <c r="H781" s="1">
        <f>[1]Industry!D$37*H777/SUM(H777:H778)</f>
        <v>32.620257698997655</v>
      </c>
      <c r="I781" s="1">
        <f>[1]Industry!E$37*I777/SUM(I777:I778)</f>
        <v>28.406378939783433</v>
      </c>
      <c r="J781" s="1">
        <f>[1]Industry!F$37*J777/SUM(J777:J778)</f>
        <v>24.902925225313659</v>
      </c>
      <c r="K781" s="1">
        <f>[1]Industry!G$37*K777/SUM(K777:K778)</f>
        <v>18.425939755167693</v>
      </c>
    </row>
    <row r="782" spans="2:11" x14ac:dyDescent="0.35">
      <c r="B782" s="5" t="str">
        <f t="shared" si="504"/>
        <v>SPS4</v>
      </c>
      <c r="C782" s="5" t="str">
        <f t="shared" ref="C782" si="525">C781</f>
        <v>CH</v>
      </c>
      <c r="D782" t="s">
        <v>723</v>
      </c>
      <c r="E782" t="s">
        <v>8</v>
      </c>
      <c r="F782" s="1">
        <f>F780-F781</f>
        <v>1.4128204108068587E-2</v>
      </c>
      <c r="G782" s="1">
        <f t="shared" ref="G782:K782" si="526">G780-G781</f>
        <v>0.12900550615835726</v>
      </c>
      <c r="H782" s="1">
        <f t="shared" si="526"/>
        <v>0</v>
      </c>
      <c r="I782" s="1">
        <f t="shared" si="526"/>
        <v>0</v>
      </c>
      <c r="J782" s="1">
        <f t="shared" si="526"/>
        <v>0</v>
      </c>
      <c r="K782" s="1">
        <f t="shared" si="526"/>
        <v>0</v>
      </c>
    </row>
    <row r="783" spans="2:11" x14ac:dyDescent="0.35">
      <c r="B783" s="5" t="str">
        <f t="shared" si="504"/>
        <v>SPS4</v>
      </c>
      <c r="C783" s="5" t="str">
        <f>C781</f>
        <v>CH</v>
      </c>
      <c r="D783" t="s">
        <v>946</v>
      </c>
      <c r="E783" t="s">
        <v>8</v>
      </c>
      <c r="F783" s="1">
        <f>SUM(F784:F786)</f>
        <v>0.74860917259121873</v>
      </c>
      <c r="G783" s="1">
        <f t="shared" ref="G783:K783" si="527">SUM(G784:G786)</f>
        <v>0.55213139535666256</v>
      </c>
      <c r="H783" s="1">
        <f t="shared" si="527"/>
        <v>3.609964866786723</v>
      </c>
      <c r="I783" s="1">
        <f t="shared" si="527"/>
        <v>8.1080265551391513</v>
      </c>
      <c r="J783" s="1">
        <f t="shared" si="527"/>
        <v>9.0295975998332381</v>
      </c>
      <c r="K783" s="1">
        <f t="shared" si="527"/>
        <v>13.762486466071298</v>
      </c>
    </row>
    <row r="784" spans="2:11" x14ac:dyDescent="0.35">
      <c r="B784" s="5" t="str">
        <f t="shared" si="504"/>
        <v>SPS4</v>
      </c>
      <c r="C784" s="5" t="str">
        <f t="shared" si="524"/>
        <v>CH</v>
      </c>
      <c r="D784" t="s">
        <v>680</v>
      </c>
      <c r="E784" t="s">
        <v>8</v>
      </c>
      <c r="F784" s="1">
        <f>[1]Industry!B$38*F777/SUM(F777:F778)</f>
        <v>0.31172257411915161</v>
      </c>
      <c r="G784" s="1">
        <f>[1]Industry!C$38*G777/SUM(G777:G778)</f>
        <v>5.7054717983886367E-5</v>
      </c>
      <c r="H784" s="1">
        <f>[1]Industry!D$38*H777/SUM(H777:H778)</f>
        <v>0.90011497417184905</v>
      </c>
      <c r="I784" s="1">
        <f>[1]Industry!E$38*I777/SUM(I777:I778)</f>
        <v>2.5460818155409659</v>
      </c>
      <c r="J784" s="1">
        <f>[1]Industry!F$38*J777/SUM(J777:J778)</f>
        <v>2.6108971689023486</v>
      </c>
      <c r="K784" s="1">
        <f>[1]Industry!G$38*K777/SUM(K777:K778)</f>
        <v>2.6216497192772197</v>
      </c>
    </row>
    <row r="785" spans="2:13" x14ac:dyDescent="0.35">
      <c r="B785" s="5" t="str">
        <f t="shared" si="504"/>
        <v>SPS4</v>
      </c>
      <c r="C785" s="5" t="str">
        <f t="shared" ref="C785" si="528">C784</f>
        <v>CH</v>
      </c>
      <c r="D785" t="s">
        <v>724</v>
      </c>
      <c r="E785" t="s">
        <v>8</v>
      </c>
      <c r="F785" s="1">
        <f>[1]Industry!B$38-F784</f>
        <v>1.2502218528487319E-4</v>
      </c>
      <c r="G785" s="1">
        <f>[1]Industry!C$38-G784</f>
        <v>2.4815374250509054E-7</v>
      </c>
      <c r="H785" s="1">
        <f>[1]Industry!D$38-H784</f>
        <v>0</v>
      </c>
      <c r="I785" s="1">
        <f>[1]Industry!E$38-I784</f>
        <v>0</v>
      </c>
      <c r="J785" s="1">
        <f>[1]Industry!F$38-J784</f>
        <v>0</v>
      </c>
      <c r="K785" s="1">
        <f>[1]Industry!G$38-K784</f>
        <v>0</v>
      </c>
    </row>
    <row r="786" spans="2:13" x14ac:dyDescent="0.35">
      <c r="B786" s="5" t="str">
        <f t="shared" si="504"/>
        <v>SPS4</v>
      </c>
      <c r="C786" s="5" t="str">
        <f>C784</f>
        <v>CH</v>
      </c>
      <c r="D786" t="s">
        <v>672</v>
      </c>
      <c r="E786" t="s">
        <v>8</v>
      </c>
      <c r="F786" s="1">
        <f>[1]Industry!B$39</f>
        <v>0.43676157628678225</v>
      </c>
      <c r="G786" s="1">
        <f>[1]Industry!C$39</f>
        <v>0.55207409248493622</v>
      </c>
      <c r="H786" s="1">
        <f>[1]Industry!D$39</f>
        <v>2.7098498926148737</v>
      </c>
      <c r="I786" s="1">
        <f>[1]Industry!E$39</f>
        <v>5.5619447395981858</v>
      </c>
      <c r="J786" s="1">
        <f>[1]Industry!F$39</f>
        <v>6.4187004309308904</v>
      </c>
      <c r="K786" s="1">
        <f>[1]Industry!G$39</f>
        <v>11.140836746794079</v>
      </c>
    </row>
    <row r="787" spans="2:13" x14ac:dyDescent="0.35">
      <c r="B787" s="5" t="str">
        <f t="shared" si="504"/>
        <v>SPS4</v>
      </c>
      <c r="C787" s="5" t="str">
        <f t="shared" si="524"/>
        <v>CH</v>
      </c>
      <c r="D787" t="s">
        <v>947</v>
      </c>
      <c r="E787" t="s">
        <v>8</v>
      </c>
      <c r="F787" s="1">
        <f>[1]Industry!B$18</f>
        <v>3.5600202094959159</v>
      </c>
      <c r="G787" s="1">
        <f>[1]Industry!C$18</f>
        <v>3.4647208701173744</v>
      </c>
      <c r="H787" s="1">
        <f>[1]Industry!D$18</f>
        <v>3.2263863350458362</v>
      </c>
      <c r="I787" s="1">
        <f>[1]Industry!E$18</f>
        <v>6.4355195221457641E-4</v>
      </c>
      <c r="J787" s="1">
        <f>[1]Industry!F$18</f>
        <v>6.3286740870591672E-4</v>
      </c>
      <c r="K787" s="1">
        <f>[1]Industry!G$18</f>
        <v>3.4793620773534078E-4</v>
      </c>
    </row>
    <row r="788" spans="2:13" x14ac:dyDescent="0.35">
      <c r="B788" s="5" t="str">
        <f t="shared" si="504"/>
        <v>SPS4</v>
      </c>
      <c r="C788" s="5" t="str">
        <f t="shared" si="524"/>
        <v>CH</v>
      </c>
      <c r="D788" t="s">
        <v>948</v>
      </c>
      <c r="E788" t="s">
        <v>8</v>
      </c>
      <c r="F788" s="1">
        <f>F787</f>
        <v>3.5600202094959159</v>
      </c>
      <c r="G788" s="1">
        <f t="shared" ref="G788:K788" si="529">G787</f>
        <v>3.4647208701173744</v>
      </c>
      <c r="H788" s="1">
        <f t="shared" si="529"/>
        <v>3.2263863350458362</v>
      </c>
      <c r="I788" s="1">
        <f t="shared" si="529"/>
        <v>6.4355195221457641E-4</v>
      </c>
      <c r="J788" s="1">
        <f t="shared" si="529"/>
        <v>6.3286740870591672E-4</v>
      </c>
      <c r="K788" s="1">
        <f t="shared" si="529"/>
        <v>3.4793620773534078E-4</v>
      </c>
    </row>
    <row r="789" spans="2:13" x14ac:dyDescent="0.35">
      <c r="B789" s="5" t="str">
        <f t="shared" si="504"/>
        <v>SPS4</v>
      </c>
      <c r="C789" s="5" t="str">
        <f t="shared" ref="C789:C790" si="530">C788</f>
        <v>CH</v>
      </c>
      <c r="D789" t="s">
        <v>949</v>
      </c>
      <c r="E789" t="s">
        <v>8</v>
      </c>
      <c r="F789" s="1">
        <f>[1]Industry!B$19</f>
        <v>12.728665789343486</v>
      </c>
      <c r="G789" s="1">
        <f>[1]Industry!C$19</f>
        <v>13.638436133476795</v>
      </c>
      <c r="H789" s="1">
        <f>[1]Industry!D$19</f>
        <v>13.478574825933332</v>
      </c>
      <c r="I789" s="1">
        <f>[1]Industry!E$19</f>
        <v>15.508093061826997</v>
      </c>
      <c r="J789" s="1">
        <f>[1]Industry!F$19</f>
        <v>16.192306546332706</v>
      </c>
      <c r="K789" s="1">
        <f>[1]Industry!G$19</f>
        <v>18.428395576417707</v>
      </c>
    </row>
    <row r="790" spans="2:13" x14ac:dyDescent="0.35">
      <c r="B790" s="5" t="str">
        <f t="shared" si="504"/>
        <v>SPS4</v>
      </c>
      <c r="C790" s="5" t="str">
        <f t="shared" si="530"/>
        <v>CH</v>
      </c>
      <c r="D790" t="s">
        <v>950</v>
      </c>
      <c r="E790" t="s">
        <v>8</v>
      </c>
      <c r="F790" s="1">
        <f>SUM(F791:F799)</f>
        <v>4.2949654205759646</v>
      </c>
      <c r="G790" s="1">
        <f t="shared" ref="G790:K790" si="531">SUM(G791:G799)</f>
        <v>5.8487739130027441</v>
      </c>
      <c r="H790" s="1">
        <f t="shared" si="531"/>
        <v>6.0251432701053762</v>
      </c>
      <c r="I790" s="1">
        <f t="shared" si="531"/>
        <v>7.2836483257732061</v>
      </c>
      <c r="J790" s="1">
        <f t="shared" si="531"/>
        <v>8.0507847111103885</v>
      </c>
      <c r="K790" s="1">
        <f t="shared" si="531"/>
        <v>9.7563548711740999</v>
      </c>
      <c r="M790" s="1"/>
    </row>
    <row r="791" spans="2:13" x14ac:dyDescent="0.35">
      <c r="B791" s="5" t="str">
        <f t="shared" si="504"/>
        <v>SPS4</v>
      </c>
      <c r="C791" s="5" t="str">
        <f t="shared" ref="C791:C808" si="532">C790</f>
        <v>CH</v>
      </c>
      <c r="D791" t="s">
        <v>481</v>
      </c>
      <c r="E791" t="s">
        <v>8</v>
      </c>
      <c r="F791" s="1">
        <f>F233</f>
        <v>0.92947428113275277</v>
      </c>
      <c r="G791" s="1">
        <f t="shared" ref="G791:K791" si="533">G233</f>
        <v>2.0709484585605802</v>
      </c>
      <c r="H791" s="1">
        <f t="shared" si="533"/>
        <v>2.9276382545590264E-2</v>
      </c>
      <c r="I791" s="1">
        <f t="shared" si="533"/>
        <v>1.314849508620662</v>
      </c>
      <c r="J791" s="1">
        <f t="shared" si="533"/>
        <v>4.1965154937227203E-2</v>
      </c>
      <c r="K791" s="1">
        <f t="shared" si="533"/>
        <v>0.37361490883573978</v>
      </c>
    </row>
    <row r="792" spans="2:13" x14ac:dyDescent="0.35">
      <c r="B792" s="5" t="str">
        <f t="shared" si="504"/>
        <v>SPS4</v>
      </c>
      <c r="C792" s="5" t="str">
        <f t="shared" si="532"/>
        <v>CH</v>
      </c>
      <c r="D792" t="s">
        <v>482</v>
      </c>
      <c r="E792" t="s">
        <v>8</v>
      </c>
      <c r="F792" s="1">
        <f>F239</f>
        <v>0.77087638278241799</v>
      </c>
      <c r="G792" s="1">
        <f t="shared" ref="G792:K792" si="534">G239</f>
        <v>0.10234314373637597</v>
      </c>
      <c r="H792" s="1">
        <f t="shared" si="534"/>
        <v>7.382843042262334E-2</v>
      </c>
      <c r="I792" s="1">
        <f t="shared" si="534"/>
        <v>0.44957635601877899</v>
      </c>
      <c r="J792" s="1">
        <f t="shared" si="534"/>
        <v>6.688086431111355E-2</v>
      </c>
      <c r="K792" s="1">
        <f t="shared" si="534"/>
        <v>1.4102554852473671E-2</v>
      </c>
    </row>
    <row r="793" spans="2:13" x14ac:dyDescent="0.35">
      <c r="B793" s="5" t="str">
        <f t="shared" si="504"/>
        <v>SPS4</v>
      </c>
      <c r="C793" s="5" t="str">
        <f t="shared" si="532"/>
        <v>CH</v>
      </c>
      <c r="D793" t="s">
        <v>483</v>
      </c>
      <c r="E793" t="s">
        <v>8</v>
      </c>
      <c r="F793" s="1">
        <f>F240</f>
        <v>0</v>
      </c>
      <c r="G793" s="1">
        <f t="shared" ref="G793:K793" si="535">G240</f>
        <v>0</v>
      </c>
      <c r="H793" s="1">
        <f t="shared" si="535"/>
        <v>0</v>
      </c>
      <c r="I793" s="1">
        <f t="shared" si="535"/>
        <v>0</v>
      </c>
      <c r="J793" s="1">
        <f t="shared" si="535"/>
        <v>0</v>
      </c>
      <c r="K793" s="1">
        <f t="shared" si="535"/>
        <v>0</v>
      </c>
    </row>
    <row r="794" spans="2:13" x14ac:dyDescent="0.35">
      <c r="B794" s="5" t="str">
        <f t="shared" si="504"/>
        <v>SPS4</v>
      </c>
      <c r="C794" s="5" t="str">
        <f t="shared" si="532"/>
        <v>CH</v>
      </c>
      <c r="D794" t="s">
        <v>484</v>
      </c>
      <c r="E794" t="s">
        <v>8</v>
      </c>
      <c r="F794" s="1">
        <f>F241</f>
        <v>0</v>
      </c>
      <c r="G794" s="1">
        <f t="shared" ref="G794:K794" si="536">G241</f>
        <v>0</v>
      </c>
      <c r="H794" s="1">
        <f t="shared" si="536"/>
        <v>0</v>
      </c>
      <c r="I794" s="1">
        <f t="shared" si="536"/>
        <v>2.9128295163130221E-4</v>
      </c>
      <c r="J794" s="1">
        <f t="shared" si="536"/>
        <v>1.3454797846224004E-3</v>
      </c>
      <c r="K794" s="1">
        <f t="shared" si="536"/>
        <v>9.9386915857320197E-4</v>
      </c>
    </row>
    <row r="795" spans="2:13" x14ac:dyDescent="0.35">
      <c r="B795" s="5" t="str">
        <f t="shared" si="504"/>
        <v>SPS4</v>
      </c>
      <c r="C795" s="5" t="str">
        <f t="shared" si="532"/>
        <v>CH</v>
      </c>
      <c r="D795" t="s">
        <v>485</v>
      </c>
      <c r="E795" t="s">
        <v>8</v>
      </c>
      <c r="F795" s="1">
        <f>F272</f>
        <v>1.9349254428169831</v>
      </c>
      <c r="G795" s="1">
        <f t="shared" ref="G795:K795" si="537">G272</f>
        <v>1.8587918092655271</v>
      </c>
      <c r="H795" s="1">
        <f t="shared" si="537"/>
        <v>2.5503082954781395</v>
      </c>
      <c r="I795" s="1">
        <f t="shared" si="537"/>
        <v>2.2433593950249899</v>
      </c>
      <c r="J795" s="1">
        <f t="shared" si="537"/>
        <v>1.6589366192440307</v>
      </c>
      <c r="K795" s="1">
        <f t="shared" si="537"/>
        <v>1.0997786029778243</v>
      </c>
    </row>
    <row r="796" spans="2:13" x14ac:dyDescent="0.35">
      <c r="B796" s="5" t="str">
        <f t="shared" si="504"/>
        <v>SPS4</v>
      </c>
      <c r="C796" s="5" t="str">
        <f t="shared" si="532"/>
        <v>CH</v>
      </c>
      <c r="D796" t="s">
        <v>486</v>
      </c>
      <c r="E796" t="s">
        <v>8</v>
      </c>
      <c r="F796" s="1">
        <f>F273</f>
        <v>0</v>
      </c>
      <c r="G796" s="1">
        <f t="shared" ref="G796:K796" si="538">G273</f>
        <v>0</v>
      </c>
      <c r="H796" s="1">
        <f t="shared" si="538"/>
        <v>0</v>
      </c>
      <c r="I796" s="1">
        <f t="shared" si="538"/>
        <v>0</v>
      </c>
      <c r="J796" s="1">
        <f t="shared" si="538"/>
        <v>0</v>
      </c>
      <c r="K796" s="1">
        <f t="shared" si="538"/>
        <v>0</v>
      </c>
    </row>
    <row r="797" spans="2:13" x14ac:dyDescent="0.35">
      <c r="B797" s="5" t="str">
        <f t="shared" si="504"/>
        <v>SPS4</v>
      </c>
      <c r="C797" s="5" t="str">
        <f t="shared" si="532"/>
        <v>CH</v>
      </c>
      <c r="D797" t="s">
        <v>487</v>
      </c>
      <c r="E797" t="s">
        <v>8</v>
      </c>
      <c r="F797" s="1">
        <f>F281</f>
        <v>0.65968931384381047</v>
      </c>
      <c r="G797" s="1">
        <f t="shared" ref="G797:K797" si="539">G281</f>
        <v>1.8166905014402606</v>
      </c>
      <c r="H797" s="1">
        <f t="shared" si="539"/>
        <v>3.3717301616590234</v>
      </c>
      <c r="I797" s="1">
        <f t="shared" si="539"/>
        <v>3.2755717831571438</v>
      </c>
      <c r="J797" s="1">
        <f t="shared" si="539"/>
        <v>6.2816565928333938</v>
      </c>
      <c r="K797" s="1">
        <f t="shared" si="539"/>
        <v>8.2678649353494897</v>
      </c>
    </row>
    <row r="798" spans="2:13" x14ac:dyDescent="0.35">
      <c r="B798" s="5" t="str">
        <f t="shared" si="504"/>
        <v>SPS4</v>
      </c>
      <c r="C798" s="5" t="str">
        <f t="shared" si="532"/>
        <v>CH</v>
      </c>
      <c r="D798" t="s">
        <v>488</v>
      </c>
      <c r="E798" t="s">
        <v>8</v>
      </c>
      <c r="F798" s="1">
        <f>F282</f>
        <v>0</v>
      </c>
      <c r="G798" s="1">
        <f t="shared" ref="G798:K798" si="540">G282</f>
        <v>0</v>
      </c>
      <c r="H798" s="1">
        <f t="shared" si="540"/>
        <v>0</v>
      </c>
      <c r="I798" s="1">
        <f t="shared" si="540"/>
        <v>0</v>
      </c>
      <c r="J798" s="1">
        <f t="shared" si="540"/>
        <v>0</v>
      </c>
      <c r="K798" s="1">
        <f t="shared" si="540"/>
        <v>0</v>
      </c>
    </row>
    <row r="799" spans="2:13" x14ac:dyDescent="0.35">
      <c r="B799" s="5" t="str">
        <f t="shared" si="504"/>
        <v>SPS4</v>
      </c>
      <c r="C799" s="5" t="str">
        <f t="shared" si="532"/>
        <v>CH</v>
      </c>
      <c r="D799" t="s">
        <v>489</v>
      </c>
      <c r="E799" t="s">
        <v>8</v>
      </c>
      <c r="F799" s="1">
        <f>F287</f>
        <v>0</v>
      </c>
      <c r="G799" s="1">
        <f t="shared" ref="G799:K799" si="541">G287</f>
        <v>0</v>
      </c>
      <c r="H799" s="1">
        <f t="shared" si="541"/>
        <v>0</v>
      </c>
      <c r="I799" s="1">
        <f t="shared" si="541"/>
        <v>0</v>
      </c>
      <c r="J799" s="1">
        <f t="shared" si="541"/>
        <v>0</v>
      </c>
      <c r="K799" s="1">
        <f t="shared" si="541"/>
        <v>0</v>
      </c>
      <c r="M799" s="1"/>
    </row>
    <row r="800" spans="2:13" x14ac:dyDescent="0.35">
      <c r="B800" s="5" t="str">
        <f t="shared" si="504"/>
        <v>SPS4</v>
      </c>
      <c r="C800" s="5" t="str">
        <f t="shared" si="532"/>
        <v>CH</v>
      </c>
      <c r="D800" t="s">
        <v>951</v>
      </c>
      <c r="E800" t="s">
        <v>8</v>
      </c>
      <c r="F800" s="1" cm="1">
        <f t="array" ref="F800">SUMPRODUCT(([1]OUT_FinalEnergyCons!$B$4:$B$10000="Var_Fin")*1, ([1]OUT_FinalEnergyCons!$C$4:$C$10000="ITOT_LTH_DH")*1, (ISNUMBER(SEARCH("ITOT-SWHLTHDH",[1]OUT_FinalEnergyCons!$A$4:$A$10000)))*1,[1]OUT_FinalEnergyCons!D$4:D$10000)</f>
        <v>7.1200134745059689</v>
      </c>
      <c r="G800" s="1" cm="1">
        <f t="array" ref="G800">SUMPRODUCT(([1]OUT_FinalEnergyCons!$B$4:$B$10000="Var_Fin")*1, ([1]OUT_FinalEnergyCons!$C$4:$C$10000="ITOT_LTH_DH")*1, (ISNUMBER(SEARCH("ITOT-SWHLTHDH",[1]OUT_FinalEnergyCons!$A$4:$A$10000)))*1,[1]OUT_FinalEnergyCons!E$4:E$10000)</f>
        <v>7.6289112348133807</v>
      </c>
      <c r="H800" s="1" cm="1">
        <f t="array" ref="H800">SUMPRODUCT(([1]OUT_FinalEnergyCons!$B$4:$B$10000="Var_Fin")*1, ([1]OUT_FinalEnergyCons!$C$4:$C$10000="ITOT_LTH_DH")*1, (ISNUMBER(SEARCH("ITOT-SWHLTHDH",[1]OUT_FinalEnergyCons!$A$4:$A$10000)))*1,[1]OUT_FinalEnergyCons!F$4:F$10000)</f>
        <v>7.368686244458055</v>
      </c>
      <c r="I800" s="1" cm="1">
        <f t="array" ref="I800">SUMPRODUCT(([1]OUT_FinalEnergyCons!$B$4:$B$10000="Var_Fin")*1, ([1]OUT_FinalEnergyCons!$C$4:$C$10000="ITOT_LTH_DH")*1, (ISNUMBER(SEARCH("ITOT-SWHLTHDH",[1]OUT_FinalEnergyCons!$A$4:$A$10000)))*1,[1]OUT_FinalEnergyCons!G$4:G$10000)</f>
        <v>7.7973482620782946</v>
      </c>
      <c r="J800" s="1" cm="1">
        <f t="array" ref="J800">SUMPRODUCT(([1]OUT_FinalEnergyCons!$B$4:$B$10000="Var_Fin")*1, ([1]OUT_FinalEnergyCons!$C$4:$C$10000="ITOT_LTH_DH")*1, (ISNUMBER(SEARCH("ITOT-SWHLTHDH",[1]OUT_FinalEnergyCons!$A$4:$A$10000)))*1,[1]OUT_FinalEnergyCons!H$4:H$10000)</f>
        <v>8.1683775362205644</v>
      </c>
      <c r="K800" s="1" cm="1">
        <f t="array" ref="K800">SUMPRODUCT(([1]OUT_FinalEnergyCons!$B$4:$B$10000="Var_Fin")*1, ([1]OUT_FinalEnergyCons!$C$4:$C$10000="ITOT_LTH_DH")*1, (ISNUMBER(SEARCH("ITOT-SWHLTHDH",[1]OUT_FinalEnergyCons!$A$4:$A$10000)))*1,[1]OUT_FinalEnergyCons!I$4:I$10000)</f>
        <v>8.7089282942718889</v>
      </c>
    </row>
    <row r="801" spans="2:11" x14ac:dyDescent="0.35">
      <c r="B801" s="5" t="str">
        <f t="shared" si="504"/>
        <v>SPS4</v>
      </c>
      <c r="C801" s="5" t="str">
        <f t="shared" si="532"/>
        <v>CH</v>
      </c>
      <c r="D801" t="s">
        <v>952</v>
      </c>
      <c r="E801" t="s">
        <v>8</v>
      </c>
      <c r="F801" s="1">
        <f>F802</f>
        <v>9.0019454640834571</v>
      </c>
      <c r="G801" s="1">
        <f t="shared" ref="G801:K801" si="542">G802</f>
        <v>10.609951662778389</v>
      </c>
      <c r="H801" s="1">
        <f t="shared" si="542"/>
        <v>9.8181264887962048</v>
      </c>
      <c r="I801" s="1">
        <f t="shared" si="542"/>
        <v>9.9389317387745546</v>
      </c>
      <c r="J801" s="1">
        <f t="shared" si="542"/>
        <v>9.6190993992253571</v>
      </c>
      <c r="K801" s="1">
        <f t="shared" si="542"/>
        <v>9.3550015322160913</v>
      </c>
    </row>
    <row r="802" spans="2:11" x14ac:dyDescent="0.35">
      <c r="B802" s="5" t="str">
        <f t="shared" si="504"/>
        <v>SPS4</v>
      </c>
      <c r="C802" s="5" t="str">
        <f t="shared" si="532"/>
        <v>CH</v>
      </c>
      <c r="D802" t="s">
        <v>953</v>
      </c>
      <c r="E802" t="s">
        <v>8</v>
      </c>
      <c r="F802" s="1" cm="1">
        <f t="array" ref="F802">SUMPRODUCT(([1]OUT_FinalEnergyCons!$B$4:$B$10000="Var_Fin")*1, ([1]OUT_FinalEnergyCons!$C$4:$C$10000="iWOD")*1, (ISNUMBER(SEARCH("ITOT-SWHWOD*BR",[1]OUT_FinalEnergyCons!$A$4:$A$10000)))*1,[1]OUT_FinalEnergyCons!D$4:D$10000)</f>
        <v>9.0019454640834571</v>
      </c>
      <c r="G802" s="1" cm="1">
        <f t="array" ref="G802">SUMPRODUCT(([1]OUT_FinalEnergyCons!$B$4:$B$10000="Var_Fin")*1, ([1]OUT_FinalEnergyCons!$C$4:$C$10000="iWOD")*1, (ISNUMBER(SEARCH("ITOT-SWHWOD*BR",[1]OUT_FinalEnergyCons!$A$4:$A$10000)))*1,[1]OUT_FinalEnergyCons!E$4:E$10000)</f>
        <v>10.609951662778389</v>
      </c>
      <c r="H802" s="1" cm="1">
        <f t="array" ref="H802">SUMPRODUCT(([1]OUT_FinalEnergyCons!$B$4:$B$10000="Var_Fin")*1, ([1]OUT_FinalEnergyCons!$C$4:$C$10000="iWOD")*1, (ISNUMBER(SEARCH("ITOT-SWHWOD*BR",[1]OUT_FinalEnergyCons!$A$4:$A$10000)))*1,[1]OUT_FinalEnergyCons!F$4:F$10000)</f>
        <v>9.8181264887962048</v>
      </c>
      <c r="I802" s="1" cm="1">
        <f t="array" ref="I802">SUMPRODUCT(([1]OUT_FinalEnergyCons!$B$4:$B$10000="Var_Fin")*1, ([1]OUT_FinalEnergyCons!$C$4:$C$10000="iWOD")*1, (ISNUMBER(SEARCH("ITOT-SWHWOD*BR",[1]OUT_FinalEnergyCons!$A$4:$A$10000)))*1,[1]OUT_FinalEnergyCons!G$4:G$10000)</f>
        <v>9.9389317387745546</v>
      </c>
      <c r="J802" s="1" cm="1">
        <f t="array" ref="J802">SUMPRODUCT(([1]OUT_FinalEnergyCons!$B$4:$B$10000="Var_Fin")*1, ([1]OUT_FinalEnergyCons!$C$4:$C$10000="iWOD")*1, (ISNUMBER(SEARCH("ITOT-SWHWOD*BR",[1]OUT_FinalEnergyCons!$A$4:$A$10000)))*1,[1]OUT_FinalEnergyCons!H$4:H$10000)</f>
        <v>9.6190993992253571</v>
      </c>
      <c r="K802" s="1" cm="1">
        <f t="array" ref="K802">SUMPRODUCT(([1]OUT_FinalEnergyCons!$B$4:$B$10000="Var_Fin")*1, ([1]OUT_FinalEnergyCons!$C$4:$C$10000="iWOD")*1, (ISNUMBER(SEARCH("ITOT-SWHWOD*BR",[1]OUT_FinalEnergyCons!$A$4:$A$10000)))*1,[1]OUT_FinalEnergyCons!I$4:I$10000)</f>
        <v>9.3550015322160913</v>
      </c>
    </row>
    <row r="803" spans="2:11" x14ac:dyDescent="0.35">
      <c r="B803" s="5" t="str">
        <f t="shared" si="504"/>
        <v>SPS4</v>
      </c>
      <c r="C803" s="5" t="str">
        <f t="shared" si="532"/>
        <v>CH</v>
      </c>
      <c r="D803" t="s">
        <v>954</v>
      </c>
      <c r="E803" t="s">
        <v>8</v>
      </c>
      <c r="F803" s="1">
        <f>F804</f>
        <v>0.62580379174949397</v>
      </c>
      <c r="G803" s="1">
        <f t="shared" ref="G803:K803" si="543">G804</f>
        <v>0.73758005755724709</v>
      </c>
      <c r="H803" s="1">
        <f t="shared" si="543"/>
        <v>0.73665825388096751</v>
      </c>
      <c r="I803" s="1">
        <f t="shared" si="543"/>
        <v>0.73458991893932046</v>
      </c>
      <c r="J803" s="1">
        <f t="shared" si="543"/>
        <v>0.73050284763771689</v>
      </c>
      <c r="K803" s="1">
        <f t="shared" si="543"/>
        <v>0.72644694035857182</v>
      </c>
    </row>
    <row r="804" spans="2:11" x14ac:dyDescent="0.35">
      <c r="B804" s="5" t="str">
        <f t="shared" si="504"/>
        <v>SPS4</v>
      </c>
      <c r="C804" s="5" t="str">
        <f t="shared" si="532"/>
        <v>CH</v>
      </c>
      <c r="D804" t="s">
        <v>955</v>
      </c>
      <c r="E804" t="s">
        <v>8</v>
      </c>
      <c r="F804" s="1" cm="1">
        <f t="array" ref="F804">SUMPRODUCT(([1]OUT_FinalEnergyCons!$B$4:$B$10000="Var_Fin")*1, ([1]OUT_FinalEnergyCons!$C$4:$C$10000="IPLT")*1, (ISNUMBER(SEARCH("ITOT-SWHPLT*BR",[1]OUT_FinalEnergyCons!$A$4:$A$10000)))*1,[1]OUT_FinalEnergyCons!D$4:D$10000)</f>
        <v>0.62580379174949397</v>
      </c>
      <c r="G804" s="1" cm="1">
        <f t="array" ref="G804">SUMPRODUCT(([1]OUT_FinalEnergyCons!$B$4:$B$10000="Var_Fin")*1, ([1]OUT_FinalEnergyCons!$C$4:$C$10000="IPLT")*1, (ISNUMBER(SEARCH("ITOT-SWHPLT*BR",[1]OUT_FinalEnergyCons!$A$4:$A$10000)))*1,[1]OUT_FinalEnergyCons!E$4:E$10000)</f>
        <v>0.73758005755724709</v>
      </c>
      <c r="H804" s="1" cm="1">
        <f t="array" ref="H804">SUMPRODUCT(([1]OUT_FinalEnergyCons!$B$4:$B$10000="Var_Fin")*1, ([1]OUT_FinalEnergyCons!$C$4:$C$10000="IPLT")*1, (ISNUMBER(SEARCH("ITOT-SWHPLT*BR",[1]OUT_FinalEnergyCons!$A$4:$A$10000)))*1,[1]OUT_FinalEnergyCons!F$4:F$10000)</f>
        <v>0.73665825388096751</v>
      </c>
      <c r="I804" s="1" cm="1">
        <f t="array" ref="I804">SUMPRODUCT(([1]OUT_FinalEnergyCons!$B$4:$B$10000="Var_Fin")*1, ([1]OUT_FinalEnergyCons!$C$4:$C$10000="IPLT")*1, (ISNUMBER(SEARCH("ITOT-SWHPLT*BR",[1]OUT_FinalEnergyCons!$A$4:$A$10000)))*1,[1]OUT_FinalEnergyCons!G$4:G$10000)</f>
        <v>0.73458991893932046</v>
      </c>
      <c r="J804" s="1" cm="1">
        <f t="array" ref="J804">SUMPRODUCT(([1]OUT_FinalEnergyCons!$B$4:$B$10000="Var_Fin")*1, ([1]OUT_FinalEnergyCons!$C$4:$C$10000="IPLT")*1, (ISNUMBER(SEARCH("ITOT-SWHPLT*BR",[1]OUT_FinalEnergyCons!$A$4:$A$10000)))*1,[1]OUT_FinalEnergyCons!H$4:H$10000)</f>
        <v>0.73050284763771689</v>
      </c>
      <c r="K804" s="1" cm="1">
        <f t="array" ref="K804">SUMPRODUCT(([1]OUT_FinalEnergyCons!$B$4:$B$10000="Var_Fin")*1, ([1]OUT_FinalEnergyCons!$C$4:$C$10000="IPLT")*1, (ISNUMBER(SEARCH("ITOT-SWHPLT*BR",[1]OUT_FinalEnergyCons!$A$4:$A$10000)))*1,[1]OUT_FinalEnergyCons!I$4:I$10000)</f>
        <v>0.72644694035857182</v>
      </c>
    </row>
    <row r="805" spans="2:11" x14ac:dyDescent="0.35">
      <c r="B805" s="5" t="str">
        <f t="shared" si="504"/>
        <v>SPS4</v>
      </c>
      <c r="C805" s="5" t="str">
        <f t="shared" si="532"/>
        <v>CH</v>
      </c>
      <c r="D805" t="s">
        <v>492</v>
      </c>
      <c r="E805" t="s">
        <v>8</v>
      </c>
      <c r="F805" s="1">
        <f>[1]Industry!B$21</f>
        <v>7.7980651425302456</v>
      </c>
      <c r="G805" s="1">
        <f>[1]Industry!C$21</f>
        <v>8.0801892685551167</v>
      </c>
      <c r="H805" s="1">
        <f>[1]Industry!D$21</f>
        <v>5.6083646236668514</v>
      </c>
      <c r="I805" s="1">
        <f>[1]Industry!E$21</f>
        <v>5.5457076540650121</v>
      </c>
      <c r="J805" s="1">
        <f>[1]Industry!F$21</f>
        <v>5.4553630729215659</v>
      </c>
      <c r="K805" s="1">
        <f>[1]Industry!G$21</f>
        <v>5.4000595987118611</v>
      </c>
    </row>
    <row r="806" spans="2:11" x14ac:dyDescent="0.35">
      <c r="B806" s="5" t="str">
        <f t="shared" si="504"/>
        <v>SPS4</v>
      </c>
      <c r="C806" s="5" t="str">
        <f t="shared" si="532"/>
        <v>CH</v>
      </c>
      <c r="D806" t="s">
        <v>495</v>
      </c>
      <c r="E806" t="s">
        <v>8</v>
      </c>
      <c r="F806" s="1">
        <f>F805</f>
        <v>7.7980651425302456</v>
      </c>
      <c r="G806" s="1">
        <f t="shared" ref="G806:K806" si="544">G805</f>
        <v>8.0801892685551167</v>
      </c>
      <c r="H806" s="1">
        <f t="shared" si="544"/>
        <v>5.6083646236668514</v>
      </c>
      <c r="I806" s="1">
        <f t="shared" si="544"/>
        <v>5.5457076540650121</v>
      </c>
      <c r="J806" s="1">
        <f t="shared" si="544"/>
        <v>5.4553630729215659</v>
      </c>
      <c r="K806" s="1">
        <f t="shared" si="544"/>
        <v>5.4000595987118611</v>
      </c>
    </row>
    <row r="807" spans="2:11" x14ac:dyDescent="0.35">
      <c r="B807" s="5" t="str">
        <f t="shared" si="504"/>
        <v>SPS4</v>
      </c>
      <c r="C807" s="5" t="str">
        <f t="shared" si="532"/>
        <v>CH</v>
      </c>
      <c r="D807" t="s">
        <v>493</v>
      </c>
      <c r="E807" t="s">
        <v>8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</row>
    <row r="808" spans="2:11" x14ac:dyDescent="0.35">
      <c r="B808" s="5" t="str">
        <f t="shared" si="504"/>
        <v>SPS4</v>
      </c>
      <c r="C808" s="5" t="str">
        <f t="shared" si="532"/>
        <v>CH</v>
      </c>
      <c r="D808" t="s">
        <v>494</v>
      </c>
      <c r="E808" t="s">
        <v>8</v>
      </c>
      <c r="F808" s="1">
        <f>F806</f>
        <v>7.7980651425302456</v>
      </c>
      <c r="G808" s="1">
        <f t="shared" ref="G808:K808" si="545">G806</f>
        <v>8.0801892685551167</v>
      </c>
      <c r="H808" s="1">
        <f t="shared" si="545"/>
        <v>5.6083646236668514</v>
      </c>
      <c r="I808" s="1">
        <f t="shared" si="545"/>
        <v>5.5457076540650121</v>
      </c>
      <c r="J808" s="1">
        <f t="shared" si="545"/>
        <v>5.4553630729215659</v>
      </c>
      <c r="K808" s="1">
        <f t="shared" si="545"/>
        <v>5.4000595987118611</v>
      </c>
    </row>
    <row r="809" spans="2:11" x14ac:dyDescent="0.35">
      <c r="B809" s="5" t="str">
        <f t="shared" si="504"/>
        <v>SPS4</v>
      </c>
      <c r="C809" s="5" t="str">
        <f t="shared" ref="C809:C810" si="546">C808</f>
        <v>CH</v>
      </c>
      <c r="D809" t="s">
        <v>956</v>
      </c>
      <c r="E809" t="s">
        <v>8</v>
      </c>
      <c r="F809" s="1">
        <f>[1]Industry!B$22</f>
        <v>6.7689304247871174E-2</v>
      </c>
      <c r="G809" s="1">
        <f>[1]Industry!C$22</f>
        <v>8.5502402786570494E-2</v>
      </c>
      <c r="H809" s="1">
        <f>[1]Industry!D$22</f>
        <v>8.4085612211990637E-2</v>
      </c>
      <c r="I809" s="1">
        <f>[1]Industry!E$22</f>
        <v>8.5586190678340945E-2</v>
      </c>
      <c r="J809" s="1">
        <f>[1]Industry!F$22</f>
        <v>8.5448951637461204E-2</v>
      </c>
      <c r="K809" s="1">
        <f>[1]Industry!G$22</f>
        <v>8.5577119847331934E-2</v>
      </c>
    </row>
    <row r="810" spans="2:11" x14ac:dyDescent="0.35">
      <c r="B810" s="5" t="str">
        <f t="shared" si="504"/>
        <v>SPS4</v>
      </c>
      <c r="C810" s="5" t="str">
        <f t="shared" si="546"/>
        <v>CH</v>
      </c>
      <c r="D810" t="s">
        <v>957</v>
      </c>
      <c r="E810" t="s">
        <v>8</v>
      </c>
      <c r="F810" s="1">
        <f>F809</f>
        <v>6.7689304247871174E-2</v>
      </c>
      <c r="G810" s="1">
        <f t="shared" ref="G810:K810" si="547">G809</f>
        <v>8.5502402786570494E-2</v>
      </c>
      <c r="H810" s="1">
        <f t="shared" si="547"/>
        <v>8.4085612211990637E-2</v>
      </c>
      <c r="I810" s="1">
        <f t="shared" si="547"/>
        <v>8.5586190678340945E-2</v>
      </c>
      <c r="J810" s="1">
        <f t="shared" si="547"/>
        <v>8.5448951637461204E-2</v>
      </c>
      <c r="K810" s="1">
        <f t="shared" si="547"/>
        <v>8.5577119847331934E-2</v>
      </c>
    </row>
    <row r="811" spans="2:11" x14ac:dyDescent="0.35">
      <c r="B811" s="5" t="str">
        <f t="shared" si="504"/>
        <v>SPS4</v>
      </c>
      <c r="C811" s="5" t="str">
        <f t="shared" ref="C811:C812" si="548">C810</f>
        <v>CH</v>
      </c>
      <c r="D811" t="s">
        <v>958</v>
      </c>
      <c r="E811" t="s">
        <v>8</v>
      </c>
      <c r="F811" s="1">
        <f>[1]Industry!B$23</f>
        <v>0</v>
      </c>
      <c r="G811" s="1">
        <f>[1]Industry!C$23</f>
        <v>0</v>
      </c>
      <c r="H811" s="1">
        <f>[1]Industry!D$23</f>
        <v>0</v>
      </c>
      <c r="I811" s="1">
        <f>[1]Industry!E$23</f>
        <v>4.3547540051563749E-2</v>
      </c>
      <c r="J811" s="1">
        <f>[1]Industry!F$23</f>
        <v>0.36944335921369603</v>
      </c>
      <c r="K811" s="1">
        <f>[1]Industry!G$23</f>
        <v>0.33567642920644492</v>
      </c>
    </row>
    <row r="812" spans="2:11" x14ac:dyDescent="0.35">
      <c r="B812" s="5" t="str">
        <f t="shared" si="504"/>
        <v>SPS4</v>
      </c>
      <c r="C812" s="5" t="str">
        <f t="shared" si="548"/>
        <v>CH</v>
      </c>
      <c r="D812" t="s">
        <v>959</v>
      </c>
      <c r="E812" t="s">
        <v>8</v>
      </c>
      <c r="F812" s="1">
        <f>F811</f>
        <v>0</v>
      </c>
      <c r="G812" s="1">
        <f t="shared" ref="G812:K812" si="549">G811</f>
        <v>0</v>
      </c>
      <c r="H812" s="1">
        <f t="shared" si="549"/>
        <v>0</v>
      </c>
      <c r="I812" s="1">
        <f t="shared" si="549"/>
        <v>4.3547540051563749E-2</v>
      </c>
      <c r="J812" s="1">
        <f t="shared" si="549"/>
        <v>0.36944335921369603</v>
      </c>
      <c r="K812" s="1">
        <f t="shared" si="549"/>
        <v>0.33567642920644492</v>
      </c>
    </row>
    <row r="813" spans="2:11" x14ac:dyDescent="0.35">
      <c r="B813" s="5" t="str">
        <f t="shared" si="504"/>
        <v>SPS4</v>
      </c>
      <c r="C813" s="5" t="str">
        <f t="shared" ref="C813:C814" si="550">C812</f>
        <v>CH</v>
      </c>
      <c r="D813" t="s">
        <v>960</v>
      </c>
      <c r="E813" t="s">
        <v>8</v>
      </c>
      <c r="F813" s="1">
        <f>[1]Industry!B$24</f>
        <v>0.74851606334976817</v>
      </c>
      <c r="G813" s="1">
        <f>[1]Industry!C$24</f>
        <v>0.94974610852721697</v>
      </c>
      <c r="H813" s="1">
        <f>[1]Industry!D$24</f>
        <v>1.1538259847169428</v>
      </c>
      <c r="I813" s="1">
        <f>[1]Industry!E$24</f>
        <v>2.6656478291082797</v>
      </c>
      <c r="J813" s="1">
        <f>[1]Industry!F$24</f>
        <v>4.1047488613583045</v>
      </c>
      <c r="K813" s="1">
        <f>[1]Industry!G$24</f>
        <v>4.3287176148645576</v>
      </c>
    </row>
    <row r="814" spans="2:11" x14ac:dyDescent="0.35">
      <c r="B814" s="5" t="str">
        <f t="shared" si="504"/>
        <v>SPS4</v>
      </c>
      <c r="C814" s="5" t="str">
        <f t="shared" si="550"/>
        <v>CH</v>
      </c>
      <c r="D814" t="s">
        <v>961</v>
      </c>
      <c r="E814" t="s">
        <v>8</v>
      </c>
      <c r="F814" s="1" cm="1">
        <f t="array" ref="F814">SUMPRODUCT(([1]OUT_FinalEnergyCons!$B$4:$B$10000="Var_FOut")*1, ([1]OUT_FinalEnergyCons!$C$4:$C$10000="ITOT-SWHAelch")*1, (ISNUMBER(SEARCH("ITOT-SWHELCHP",[1]OUT_FinalEnergyCons!$A$4:$A$10000)))*1,[1]OUT_FinalEnergyCons!D$4:D$10000)-F764</f>
        <v>0.74851606334976817</v>
      </c>
      <c r="G814" s="1" cm="1">
        <f t="array" ref="G814">SUMPRODUCT(([1]OUT_FinalEnergyCons!$B$4:$B$10000="Var_FOut")*1, ([1]OUT_FinalEnergyCons!$C$4:$C$10000="ITOT-SWHAelch")*1, (ISNUMBER(SEARCH("ITOT-SWHELCHP",[1]OUT_FinalEnergyCons!$A$4:$A$10000)))*1,[1]OUT_FinalEnergyCons!E$4:E$10000)-G764</f>
        <v>0.94974610852721697</v>
      </c>
      <c r="H814" s="1" cm="1">
        <f t="array" ref="H814">SUMPRODUCT(([1]OUT_FinalEnergyCons!$B$4:$B$10000="Var_FOut")*1, ([1]OUT_FinalEnergyCons!$C$4:$C$10000="ITOT-SWHAelch")*1, (ISNUMBER(SEARCH("ITOT-SWHELCHP",[1]OUT_FinalEnergyCons!$A$4:$A$10000)))*1,[1]OUT_FinalEnergyCons!F$4:F$10000)-H764</f>
        <v>1.1496795564899718</v>
      </c>
      <c r="I814" s="1" cm="1">
        <f t="array" ref="I814">SUMPRODUCT(([1]OUT_FinalEnergyCons!$B$4:$B$10000="Var_FOut")*1, ([1]OUT_FinalEnergyCons!$C$4:$C$10000="ITOT-SWHAelch")*1, (ISNUMBER(SEARCH("ITOT-SWHELCHP",[1]OUT_FinalEnergyCons!$A$4:$A$10000)))*1,[1]OUT_FinalEnergyCons!G$4:G$10000)-I764</f>
        <v>2.6623626166137675</v>
      </c>
      <c r="J814" s="1" cm="1">
        <f t="array" ref="J814">SUMPRODUCT(([1]OUT_FinalEnergyCons!$B$4:$B$10000="Var_FOut")*1, ([1]OUT_FinalEnergyCons!$C$4:$C$10000="ITOT-SWHAelch")*1, (ISNUMBER(SEARCH("ITOT-SWHELCHP",[1]OUT_FinalEnergyCons!$A$4:$A$10000)))*1,[1]OUT_FinalEnergyCons!H$4:H$10000)-J764</f>
        <v>4.0905536188958473</v>
      </c>
      <c r="K814" s="1" cm="1">
        <f t="array" ref="K814">SUMPRODUCT(([1]OUT_FinalEnergyCons!$B$4:$B$10000="Var_FOut")*1, ([1]OUT_FinalEnergyCons!$C$4:$C$10000="ITOT-SWHAelch")*1, (ISNUMBER(SEARCH("ITOT-SWHELCHP",[1]OUT_FinalEnergyCons!$A$4:$A$10000)))*1,[1]OUT_FinalEnergyCons!I$4:I$10000)-K764</f>
        <v>4.1907325742487789</v>
      </c>
    </row>
    <row r="815" spans="2:11" x14ac:dyDescent="0.35">
      <c r="B815" s="5" t="str">
        <f t="shared" si="504"/>
        <v>SPS4</v>
      </c>
      <c r="C815" s="5" t="str">
        <f t="shared" ref="C815:C823" si="551">C814</f>
        <v>CH</v>
      </c>
      <c r="D815" t="s">
        <v>962</v>
      </c>
      <c r="E815" t="s">
        <v>8</v>
      </c>
      <c r="F815" s="1">
        <f>F813-F814</f>
        <v>0</v>
      </c>
      <c r="G815" s="1">
        <f t="shared" ref="G815:K815" si="552">G813-G814</f>
        <v>0</v>
      </c>
      <c r="H815" s="1">
        <f t="shared" si="552"/>
        <v>4.1464282269709773E-3</v>
      </c>
      <c r="I815" s="1">
        <f t="shared" si="552"/>
        <v>3.2852124945121908E-3</v>
      </c>
      <c r="J815" s="1">
        <f t="shared" si="552"/>
        <v>1.419524246245718E-2</v>
      </c>
      <c r="K815" s="1">
        <f t="shared" si="552"/>
        <v>0.13798504061577876</v>
      </c>
    </row>
    <row r="816" spans="2:11" x14ac:dyDescent="0.35">
      <c r="B816" s="9" t="str">
        <f t="shared" si="504"/>
        <v>SPS4</v>
      </c>
      <c r="C816" s="9" t="str">
        <f t="shared" si="551"/>
        <v>CH</v>
      </c>
      <c r="D816" s="2" t="s">
        <v>684</v>
      </c>
      <c r="E816" s="9" t="s">
        <v>8</v>
      </c>
      <c r="F816" s="17">
        <f>[1]Industry!B$71</f>
        <v>72.708521993641753</v>
      </c>
      <c r="G816" s="17">
        <f>[1]Industry!C$71</f>
        <v>74.352961267446517</v>
      </c>
      <c r="H816" s="17">
        <f>[1]Industry!D$71</f>
        <v>75.903481907959744</v>
      </c>
      <c r="I816" s="17">
        <f>[1]Industry!E$71</f>
        <v>76.861495855166709</v>
      </c>
      <c r="J816" s="17">
        <f>[1]Industry!F$71</f>
        <v>77.060795302317104</v>
      </c>
      <c r="K816" s="17">
        <f>[1]Industry!G$71</f>
        <v>77.043404000722759</v>
      </c>
    </row>
    <row r="817" spans="2:13" x14ac:dyDescent="0.35">
      <c r="B817" s="5" t="str">
        <f t="shared" si="504"/>
        <v>SPS4</v>
      </c>
      <c r="C817" s="5" t="str">
        <f t="shared" si="551"/>
        <v>CH</v>
      </c>
      <c r="D817" t="s">
        <v>2032</v>
      </c>
      <c r="E817" t="s">
        <v>8</v>
      </c>
      <c r="F817" s="18">
        <f>SUM(F818:F820)</f>
        <v>58.985529168082095</v>
      </c>
      <c r="G817" s="18">
        <f t="shared" ref="G817:K817" si="553">SUM(G818:G820)</f>
        <v>61.6022795582385</v>
      </c>
      <c r="H817" s="18">
        <f t="shared" si="553"/>
        <v>63.693287597947887</v>
      </c>
      <c r="I817" s="18">
        <f t="shared" si="553"/>
        <v>67.297578765419672</v>
      </c>
      <c r="J817" s="18">
        <f t="shared" si="553"/>
        <v>69.630457741962545</v>
      </c>
      <c r="K817" s="18">
        <f t="shared" si="553"/>
        <v>70.492456417175674</v>
      </c>
    </row>
    <row r="818" spans="2:13" x14ac:dyDescent="0.35">
      <c r="B818" s="5" t="str">
        <f t="shared" si="504"/>
        <v>SPS4</v>
      </c>
      <c r="C818" s="5" t="str">
        <f t="shared" si="551"/>
        <v>CH</v>
      </c>
      <c r="D818" t="s">
        <v>2033</v>
      </c>
      <c r="E818" t="s">
        <v>8</v>
      </c>
      <c r="F818" s="1">
        <f>[1]Industry!B$55</f>
        <v>9.8139214632894181</v>
      </c>
      <c r="G818" s="1">
        <f>[1]Industry!C$55</f>
        <v>10.335089674566261</v>
      </c>
      <c r="H818" s="1">
        <f>[1]Industry!D$55</f>
        <v>10.890926001314831</v>
      </c>
      <c r="I818" s="1">
        <f>[1]Industry!E$55</f>
        <v>10.890928599941295</v>
      </c>
      <c r="J818" s="1">
        <f>[1]Industry!F$55</f>
        <v>10.890931436568509</v>
      </c>
      <c r="K818" s="1">
        <f>[1]Industry!G$55</f>
        <v>10.890935250650976</v>
      </c>
      <c r="L818" s="1"/>
      <c r="M818" s="1"/>
    </row>
    <row r="819" spans="2:13" x14ac:dyDescent="0.35">
      <c r="B819" s="5" t="str">
        <f t="shared" si="504"/>
        <v>SPS4</v>
      </c>
      <c r="C819" s="5" t="str">
        <f t="shared" si="551"/>
        <v>CH</v>
      </c>
      <c r="D819" t="s">
        <v>2034</v>
      </c>
      <c r="E819" t="s">
        <v>8</v>
      </c>
      <c r="F819" s="1">
        <f>[1]Industry!B$56</f>
        <v>1.1082100526216789</v>
      </c>
      <c r="G819" s="1">
        <f>[1]Industry!C$56</f>
        <v>1.4008167347774234</v>
      </c>
      <c r="H819" s="1">
        <f>[1]Industry!D$56</f>
        <v>1.6863178221078707</v>
      </c>
      <c r="I819" s="1">
        <f>[1]Industry!E$56</f>
        <v>3.8704590395783587</v>
      </c>
      <c r="J819" s="1">
        <f>[1]Industry!F$56</f>
        <v>5.8487570140627039</v>
      </c>
      <c r="K819" s="1">
        <f>[1]Industry!G$56</f>
        <v>5.9016968512518648</v>
      </c>
    </row>
    <row r="820" spans="2:13" x14ac:dyDescent="0.35">
      <c r="B820" s="5" t="str">
        <f t="shared" ref="B820:B883" si="554">B819</f>
        <v>SPS4</v>
      </c>
      <c r="C820" s="5" t="str">
        <f t="shared" si="551"/>
        <v>CH</v>
      </c>
      <c r="D820" t="s">
        <v>2035</v>
      </c>
      <c r="E820" t="s">
        <v>8</v>
      </c>
      <c r="F820" s="1">
        <f>[1]Industry!B$3-([1]Industry!B$6-[1]Industry!B$70)</f>
        <v>48.063397652170998</v>
      </c>
      <c r="G820" s="1">
        <f>[1]Industry!C$3-([1]Industry!C$6-[1]Industry!C$70)</f>
        <v>49.866373148894816</v>
      </c>
      <c r="H820" s="1">
        <f>[1]Industry!D$3-([1]Industry!D$6-[1]Industry!D$70)</f>
        <v>51.116043774525188</v>
      </c>
      <c r="I820" s="1">
        <f>[1]Industry!E$3-([1]Industry!E$6-[1]Industry!E$70)</f>
        <v>52.536191125900025</v>
      </c>
      <c r="J820" s="1">
        <f>[1]Industry!F$3-([1]Industry!F$6-[1]Industry!F$70)</f>
        <v>52.890769291331324</v>
      </c>
      <c r="K820" s="1">
        <f>[1]Industry!G$3-([1]Industry!G$6-[1]Industry!G$70)</f>
        <v>53.699824315272835</v>
      </c>
    </row>
    <row r="821" spans="2:13" x14ac:dyDescent="0.35">
      <c r="B821" s="5" t="str">
        <f t="shared" si="554"/>
        <v>SPS4</v>
      </c>
      <c r="C821" s="5" t="str">
        <f t="shared" si="551"/>
        <v>CH</v>
      </c>
      <c r="D821" t="s">
        <v>2036</v>
      </c>
      <c r="E821" t="s">
        <v>8</v>
      </c>
      <c r="F821" s="1">
        <f>SUM(F822:F823)</f>
        <v>8.7635721441690233</v>
      </c>
      <c r="G821" s="1">
        <f t="shared" ref="G821:K821" si="555">SUM(G822:G823)</f>
        <v>8.0728709231301092</v>
      </c>
      <c r="H821" s="1">
        <f t="shared" si="555"/>
        <v>6.22763095233113</v>
      </c>
      <c r="I821" s="1">
        <f t="shared" si="555"/>
        <v>5.0898787463382851</v>
      </c>
      <c r="J821" s="1">
        <f t="shared" si="555"/>
        <v>2.5808061077718065</v>
      </c>
      <c r="K821" s="1">
        <f t="shared" si="555"/>
        <v>0.5413746145673145</v>
      </c>
    </row>
    <row r="822" spans="2:13" x14ac:dyDescent="0.35">
      <c r="B822" s="5" t="str">
        <f t="shared" si="554"/>
        <v>SPS4</v>
      </c>
      <c r="C822" s="5" t="str">
        <f t="shared" si="551"/>
        <v>CH</v>
      </c>
      <c r="D822" t="s">
        <v>2037</v>
      </c>
      <c r="E822" t="s">
        <v>8</v>
      </c>
      <c r="F822" s="1">
        <f>[1]Industry!B$57</f>
        <v>6.9177377416453822</v>
      </c>
      <c r="G822" s="1">
        <f>[1]Industry!C$57</f>
        <v>6.3117196907671813</v>
      </c>
      <c r="H822" s="1">
        <f>[1]Industry!D$57</f>
        <v>6.2254282201204854</v>
      </c>
      <c r="I822" s="1">
        <f>[1]Industry!E$57</f>
        <v>5.0894743055152869</v>
      </c>
      <c r="J822" s="1">
        <f>[1]Industry!F$57</f>
        <v>2.5803168243092265</v>
      </c>
      <c r="K822" s="1">
        <f>[1]Industry!G$57</f>
        <v>0.5413746145673145</v>
      </c>
    </row>
    <row r="823" spans="2:13" x14ac:dyDescent="0.35">
      <c r="B823" s="5" t="str">
        <f t="shared" si="554"/>
        <v>SPS4</v>
      </c>
      <c r="C823" s="5" t="str">
        <f t="shared" si="551"/>
        <v>CH</v>
      </c>
      <c r="D823" t="s">
        <v>2038</v>
      </c>
      <c r="E823" t="s">
        <v>8</v>
      </c>
      <c r="F823" s="1">
        <f>[1]Industry!B$58</f>
        <v>1.8458344025236404</v>
      </c>
      <c r="G823" s="1">
        <f>[1]Industry!C$58</f>
        <v>1.7611512323629284</v>
      </c>
      <c r="H823" s="1">
        <f>[1]Industry!D$58</f>
        <v>2.2027322106444327E-3</v>
      </c>
      <c r="I823" s="1">
        <f>[1]Industry!E$58</f>
        <v>4.0444082299843036E-4</v>
      </c>
      <c r="J823" s="1">
        <f>[1]Industry!F$58</f>
        <v>4.8928346258002655E-4</v>
      </c>
      <c r="K823" s="1">
        <f>[1]Industry!G$58</f>
        <v>0</v>
      </c>
    </row>
    <row r="824" spans="2:13" x14ac:dyDescent="0.35">
      <c r="B824" s="5" t="str">
        <f t="shared" si="554"/>
        <v>SPS4</v>
      </c>
      <c r="C824" s="5" t="str">
        <f>C823</f>
        <v>CH</v>
      </c>
      <c r="D824" t="s">
        <v>2039</v>
      </c>
      <c r="E824" t="s">
        <v>8</v>
      </c>
      <c r="F824" s="1">
        <f>SUM(F825:F827)</f>
        <v>28.930309700683466</v>
      </c>
      <c r="G824" s="1">
        <f t="shared" ref="G824:K824" si="556">SUM(G825:G827)</f>
        <v>24.39424063105827</v>
      </c>
      <c r="H824" s="1">
        <f t="shared" si="556"/>
        <v>28.974814410981725</v>
      </c>
      <c r="I824" s="1">
        <f t="shared" si="556"/>
        <v>29.000237443715246</v>
      </c>
      <c r="J824" s="1">
        <f t="shared" si="556"/>
        <v>27.054772807828439</v>
      </c>
      <c r="K824" s="1">
        <f t="shared" si="556"/>
        <v>25.453082997608085</v>
      </c>
    </row>
    <row r="825" spans="2:13" x14ac:dyDescent="0.35">
      <c r="B825" s="5" t="str">
        <f t="shared" si="554"/>
        <v>SPS4</v>
      </c>
      <c r="C825" s="5" t="str">
        <f t="shared" ref="C825:C854" si="557">C824</f>
        <v>CH</v>
      </c>
      <c r="D825" t="s">
        <v>2040</v>
      </c>
      <c r="E825" t="s">
        <v>8</v>
      </c>
      <c r="F825" s="1">
        <f>[1]Industry!B$59</f>
        <v>28.619772219943563</v>
      </c>
      <c r="G825" s="1">
        <f>[1]Industry!C$59</f>
        <v>24.001715951301481</v>
      </c>
      <c r="H825" s="1">
        <f>[1]Industry!D$59</f>
        <v>27.039281723346143</v>
      </c>
      <c r="I825" s="1">
        <f>[1]Industry!E$59</f>
        <v>25.038847388656588</v>
      </c>
      <c r="J825" s="1">
        <f>[1]Industry!F$59</f>
        <v>22.462628332680769</v>
      </c>
      <c r="K825" s="1">
        <f>[1]Industry!G$59</f>
        <v>17.164689744988472</v>
      </c>
    </row>
    <row r="826" spans="2:13" x14ac:dyDescent="0.35">
      <c r="B826" s="5" t="str">
        <f t="shared" si="554"/>
        <v>SPS4</v>
      </c>
      <c r="C826" s="5" t="str">
        <f t="shared" si="557"/>
        <v>CH</v>
      </c>
      <c r="D826" t="s">
        <v>2041</v>
      </c>
      <c r="E826" t="s">
        <v>8</v>
      </c>
      <c r="F826" s="1">
        <f>[1]Industry!B$60</f>
        <v>0</v>
      </c>
      <c r="G826" s="1">
        <f>[1]Industry!C$60</f>
        <v>0</v>
      </c>
      <c r="H826" s="1">
        <f>[1]Industry!D$60</f>
        <v>8.8294139864048306E-3</v>
      </c>
      <c r="I826" s="1">
        <f>[1]Industry!E$60</f>
        <v>6.8473452043479911E-3</v>
      </c>
      <c r="J826" s="1">
        <f>[1]Industry!F$60</f>
        <v>2.8448468755811494E-2</v>
      </c>
      <c r="K826" s="1">
        <f>[1]Industry!G$60</f>
        <v>0.26699079492788069</v>
      </c>
    </row>
    <row r="827" spans="2:13" x14ac:dyDescent="0.35">
      <c r="B827" s="5" t="str">
        <f t="shared" si="554"/>
        <v>SPS4</v>
      </c>
      <c r="C827" s="5" t="str">
        <f t="shared" si="557"/>
        <v>CH</v>
      </c>
      <c r="D827" t="s">
        <v>2042</v>
      </c>
      <c r="E827" t="s">
        <v>8</v>
      </c>
      <c r="F827" s="1">
        <f>[1]Industry!B$68</f>
        <v>0.31053748073990239</v>
      </c>
      <c r="G827" s="1">
        <f>[1]Industry!C$68</f>
        <v>0.39252467975678951</v>
      </c>
      <c r="H827" s="1">
        <f>[1]Industry!D$68</f>
        <v>1.9267032736491789</v>
      </c>
      <c r="I827" s="1">
        <f>[1]Industry!E$68</f>
        <v>3.95454270985431</v>
      </c>
      <c r="J827" s="1">
        <f>[1]Industry!F$68</f>
        <v>4.5636960063918588</v>
      </c>
      <c r="K827" s="1">
        <f>[1]Industry!G$68</f>
        <v>8.0214024576917335</v>
      </c>
    </row>
    <row r="828" spans="2:13" x14ac:dyDescent="0.35">
      <c r="B828" s="5" t="str">
        <f t="shared" si="554"/>
        <v>SPS4</v>
      </c>
      <c r="C828" s="5" t="str">
        <f t="shared" si="557"/>
        <v>CH</v>
      </c>
      <c r="D828" t="s">
        <v>2043</v>
      </c>
      <c r="E828" t="s">
        <v>8</v>
      </c>
      <c r="F828" s="1">
        <f>F829</f>
        <v>2.367413439314785</v>
      </c>
      <c r="G828" s="1">
        <f t="shared" ref="G828:K828" si="558">G829</f>
        <v>2.3075040994981739</v>
      </c>
      <c r="H828" s="1">
        <f t="shared" si="558"/>
        <v>2.1536128786430941</v>
      </c>
      <c r="I828" s="1">
        <f t="shared" si="558"/>
        <v>4.3117980798376633E-4</v>
      </c>
      <c r="J828" s="1">
        <f t="shared" si="558"/>
        <v>4.2718550087649372E-4</v>
      </c>
      <c r="K828" s="1">
        <f t="shared" si="558"/>
        <v>2.365966212600318E-4</v>
      </c>
    </row>
    <row r="829" spans="2:13" x14ac:dyDescent="0.35">
      <c r="B829" s="5" t="str">
        <f t="shared" si="554"/>
        <v>SPS4</v>
      </c>
      <c r="C829" s="5" t="str">
        <f t="shared" si="557"/>
        <v>CH</v>
      </c>
      <c r="D829" t="s">
        <v>2044</v>
      </c>
      <c r="E829" t="s">
        <v>8</v>
      </c>
      <c r="F829" s="1">
        <f>[1]Industry!B$61</f>
        <v>2.367413439314785</v>
      </c>
      <c r="G829" s="1">
        <f>[1]Industry!C$61</f>
        <v>2.3075040994981739</v>
      </c>
      <c r="H829" s="1">
        <f>[1]Industry!D$61</f>
        <v>2.1536128786430941</v>
      </c>
      <c r="I829" s="1">
        <f>[1]Industry!E$61</f>
        <v>4.3117980798376633E-4</v>
      </c>
      <c r="J829" s="1">
        <f>[1]Industry!F$61</f>
        <v>4.2718550087649372E-4</v>
      </c>
      <c r="K829" s="1">
        <f>[1]Industry!G$61</f>
        <v>2.365966212600318E-4</v>
      </c>
    </row>
    <row r="830" spans="2:13" x14ac:dyDescent="0.35">
      <c r="B830" s="5" t="str">
        <f t="shared" si="554"/>
        <v>SPS4</v>
      </c>
      <c r="C830" s="5" t="str">
        <f t="shared" si="557"/>
        <v>CH</v>
      </c>
      <c r="D830" t="s">
        <v>2045</v>
      </c>
      <c r="E830" t="s">
        <v>8</v>
      </c>
      <c r="F830" s="1">
        <f>F831+F841</f>
        <v>11.767349373835071</v>
      </c>
      <c r="G830" s="1">
        <f t="shared" ref="G830:K830" si="559">G831+G841</f>
        <v>12.635415952616569</v>
      </c>
      <c r="H830" s="1">
        <f t="shared" si="559"/>
        <v>12.527344851518723</v>
      </c>
      <c r="I830" s="1">
        <f t="shared" si="559"/>
        <v>14.4904019222434</v>
      </c>
      <c r="J830" s="1">
        <f t="shared" si="559"/>
        <v>15.290302246524355</v>
      </c>
      <c r="K830" s="1">
        <f t="shared" si="559"/>
        <v>17.50716774682758</v>
      </c>
    </row>
    <row r="831" spans="2:13" x14ac:dyDescent="0.35">
      <c r="B831" s="5" t="str">
        <f t="shared" si="554"/>
        <v>SPS4</v>
      </c>
      <c r="C831" s="5" t="str">
        <f t="shared" si="557"/>
        <v>CH</v>
      </c>
      <c r="D831" t="s">
        <v>2046</v>
      </c>
      <c r="E831" t="s">
        <v>8</v>
      </c>
      <c r="F831" s="1">
        <f>[1]Industry!B$62</f>
        <v>5.1850659289300083</v>
      </c>
      <c r="G831" s="1">
        <f>[1]Industry!C$62</f>
        <v>5.5675625877540389</v>
      </c>
      <c r="H831" s="1">
        <f>[1]Industry!D$62</f>
        <v>5.6786924621459187</v>
      </c>
      <c r="I831" s="1">
        <f>[1]Industry!E$62</f>
        <v>7.2047408293695092</v>
      </c>
      <c r="J831" s="1">
        <f>[1]Industry!F$62</f>
        <v>7.5770889246826867</v>
      </c>
      <c r="K831" s="1">
        <f>[1]Industry!G$62</f>
        <v>9.233685867269287</v>
      </c>
      <c r="M831" s="1"/>
    </row>
    <row r="832" spans="2:13" x14ac:dyDescent="0.35">
      <c r="B832" s="5" t="str">
        <f t="shared" si="554"/>
        <v>SPS4</v>
      </c>
      <c r="C832" s="5" t="str">
        <f t="shared" si="557"/>
        <v>CH</v>
      </c>
      <c r="D832" t="s">
        <v>2047</v>
      </c>
      <c r="E832" t="s">
        <v>8</v>
      </c>
      <c r="F832" s="1">
        <f>IFERROR(F791/F$790,0)*F$831</f>
        <v>1.1221011009378179</v>
      </c>
      <c r="G832" s="1">
        <f t="shared" ref="G832:K832" si="560">IFERROR(G791/G$790,0)*G$831</f>
        <v>1.9713764509541869</v>
      </c>
      <c r="H832" s="1">
        <f t="shared" si="560"/>
        <v>2.7592965914258857E-2</v>
      </c>
      <c r="I832" s="1">
        <f t="shared" si="560"/>
        <v>1.3006050698130163</v>
      </c>
      <c r="J832" s="1">
        <f t="shared" si="560"/>
        <v>3.9495989783286764E-2</v>
      </c>
      <c r="K832" s="1">
        <f t="shared" si="560"/>
        <v>0.35359955117156494</v>
      </c>
    </row>
    <row r="833" spans="2:13" x14ac:dyDescent="0.35">
      <c r="B833" s="5" t="str">
        <f t="shared" si="554"/>
        <v>SPS4</v>
      </c>
      <c r="C833" s="5" t="str">
        <f t="shared" si="557"/>
        <v>CH</v>
      </c>
      <c r="D833" t="s">
        <v>2048</v>
      </c>
      <c r="E833" t="s">
        <v>8</v>
      </c>
      <c r="F833" s="1">
        <f t="shared" ref="F833:K840" si="561">IFERROR(F792/F$790,0)*F$831</f>
        <v>0.93063493564656219</v>
      </c>
      <c r="G833" s="1">
        <f t="shared" si="561"/>
        <v>9.7422445568125293E-2</v>
      </c>
      <c r="H833" s="1">
        <f t="shared" si="561"/>
        <v>6.9583233549512458E-2</v>
      </c>
      <c r="I833" s="1">
        <f t="shared" si="561"/>
        <v>0.44470586487079056</v>
      </c>
      <c r="J833" s="1">
        <f t="shared" si="561"/>
        <v>6.2945697149942775E-2</v>
      </c>
      <c r="K833" s="1">
        <f t="shared" si="561"/>
        <v>1.3347050527899184E-2</v>
      </c>
    </row>
    <row r="834" spans="2:13" x14ac:dyDescent="0.35">
      <c r="B834" s="5" t="str">
        <f t="shared" si="554"/>
        <v>SPS4</v>
      </c>
      <c r="C834" s="5" t="str">
        <f t="shared" si="557"/>
        <v>CH</v>
      </c>
      <c r="D834" t="s">
        <v>2049</v>
      </c>
      <c r="E834" t="s">
        <v>8</v>
      </c>
      <c r="F834" s="1">
        <f t="shared" si="561"/>
        <v>0</v>
      </c>
      <c r="G834" s="1">
        <f t="shared" si="561"/>
        <v>0</v>
      </c>
      <c r="H834" s="1">
        <f t="shared" si="561"/>
        <v>0</v>
      </c>
      <c r="I834" s="1">
        <f t="shared" si="561"/>
        <v>0</v>
      </c>
      <c r="J834" s="1">
        <f t="shared" si="561"/>
        <v>0</v>
      </c>
      <c r="K834" s="1">
        <f t="shared" si="561"/>
        <v>0</v>
      </c>
    </row>
    <row r="835" spans="2:13" x14ac:dyDescent="0.35">
      <c r="B835" s="5" t="str">
        <f t="shared" si="554"/>
        <v>SPS4</v>
      </c>
      <c r="C835" s="5" t="str">
        <f t="shared" si="557"/>
        <v>CH</v>
      </c>
      <c r="D835" t="s">
        <v>2050</v>
      </c>
      <c r="E835" t="s">
        <v>8</v>
      </c>
      <c r="F835" s="1">
        <f t="shared" si="561"/>
        <v>0</v>
      </c>
      <c r="G835" s="1">
        <f t="shared" si="561"/>
        <v>0</v>
      </c>
      <c r="H835" s="1">
        <f t="shared" si="561"/>
        <v>0</v>
      </c>
      <c r="I835" s="1">
        <f t="shared" si="561"/>
        <v>2.8812733408494504E-4</v>
      </c>
      <c r="J835" s="1">
        <f t="shared" si="561"/>
        <v>1.2663138240894204E-3</v>
      </c>
      <c r="K835" s="1">
        <f t="shared" si="561"/>
        <v>9.4062544101860906E-4</v>
      </c>
    </row>
    <row r="836" spans="2:13" x14ac:dyDescent="0.35">
      <c r="B836" s="5" t="str">
        <f t="shared" si="554"/>
        <v>SPS4</v>
      </c>
      <c r="C836" s="5" t="str">
        <f t="shared" si="557"/>
        <v>CH</v>
      </c>
      <c r="D836" t="s">
        <v>2051</v>
      </c>
      <c r="E836" t="s">
        <v>8</v>
      </c>
      <c r="F836" s="1">
        <f t="shared" si="561"/>
        <v>2.3359247412112434</v>
      </c>
      <c r="G836" s="1">
        <f t="shared" si="561"/>
        <v>1.7694203758984546</v>
      </c>
      <c r="H836" s="1">
        <f t="shared" si="561"/>
        <v>2.4036634225009275</v>
      </c>
      <c r="I836" s="1">
        <f t="shared" si="561"/>
        <v>2.21905593260098</v>
      </c>
      <c r="J836" s="1">
        <f t="shared" si="561"/>
        <v>1.5613273408090929</v>
      </c>
      <c r="K836" s="1">
        <f t="shared" si="561"/>
        <v>1.0408610877250122</v>
      </c>
    </row>
    <row r="837" spans="2:13" x14ac:dyDescent="0.35">
      <c r="B837" s="5" t="str">
        <f t="shared" si="554"/>
        <v>SPS4</v>
      </c>
      <c r="C837" s="5" t="str">
        <f t="shared" si="557"/>
        <v>CH</v>
      </c>
      <c r="D837" t="s">
        <v>2052</v>
      </c>
      <c r="E837" t="s">
        <v>8</v>
      </c>
      <c r="F837" s="1">
        <f t="shared" si="561"/>
        <v>0</v>
      </c>
      <c r="G837" s="1">
        <f t="shared" si="561"/>
        <v>0</v>
      </c>
      <c r="H837" s="1">
        <f t="shared" si="561"/>
        <v>0</v>
      </c>
      <c r="I837" s="1">
        <f t="shared" si="561"/>
        <v>0</v>
      </c>
      <c r="J837" s="1">
        <f t="shared" si="561"/>
        <v>0</v>
      </c>
      <c r="K837" s="1">
        <f t="shared" si="561"/>
        <v>0</v>
      </c>
    </row>
    <row r="838" spans="2:13" x14ac:dyDescent="0.35">
      <c r="B838" s="5" t="str">
        <f t="shared" si="554"/>
        <v>SPS4</v>
      </c>
      <c r="C838" s="5" t="str">
        <f t="shared" si="557"/>
        <v>CH</v>
      </c>
      <c r="D838" t="s">
        <v>2053</v>
      </c>
      <c r="E838" t="s">
        <v>8</v>
      </c>
      <c r="F838" s="1">
        <f t="shared" si="561"/>
        <v>0.79640515113438459</v>
      </c>
      <c r="G838" s="1">
        <f t="shared" si="561"/>
        <v>1.729343315333272</v>
      </c>
      <c r="H838" s="1">
        <f t="shared" si="561"/>
        <v>3.1778528401812203</v>
      </c>
      <c r="I838" s="1">
        <f t="shared" si="561"/>
        <v>3.2400858347506376</v>
      </c>
      <c r="J838" s="1">
        <f t="shared" si="561"/>
        <v>5.9120535831162746</v>
      </c>
      <c r="K838" s="1">
        <f t="shared" si="561"/>
        <v>7.8249375524037923</v>
      </c>
    </row>
    <row r="839" spans="2:13" x14ac:dyDescent="0.35">
      <c r="B839" s="5" t="str">
        <f t="shared" si="554"/>
        <v>SPS4</v>
      </c>
      <c r="C839" s="5" t="str">
        <f t="shared" si="557"/>
        <v>CH</v>
      </c>
      <c r="D839" t="s">
        <v>2054</v>
      </c>
      <c r="E839" t="s">
        <v>8</v>
      </c>
      <c r="F839" s="1">
        <f t="shared" si="561"/>
        <v>0</v>
      </c>
      <c r="G839" s="1">
        <f t="shared" si="561"/>
        <v>0</v>
      </c>
      <c r="H839" s="1">
        <f t="shared" si="561"/>
        <v>0</v>
      </c>
      <c r="I839" s="1">
        <f t="shared" si="561"/>
        <v>0</v>
      </c>
      <c r="J839" s="1">
        <f t="shared" si="561"/>
        <v>0</v>
      </c>
      <c r="K839" s="1">
        <f t="shared" si="561"/>
        <v>0</v>
      </c>
    </row>
    <row r="840" spans="2:13" x14ac:dyDescent="0.35">
      <c r="B840" s="5" t="str">
        <f t="shared" si="554"/>
        <v>SPS4</v>
      </c>
      <c r="C840" s="5" t="str">
        <f t="shared" si="557"/>
        <v>CH</v>
      </c>
      <c r="D840" t="s">
        <v>2055</v>
      </c>
      <c r="E840" t="s">
        <v>8</v>
      </c>
      <c r="F840" s="1">
        <f t="shared" si="561"/>
        <v>0</v>
      </c>
      <c r="G840" s="1">
        <f t="shared" si="561"/>
        <v>0</v>
      </c>
      <c r="H840" s="1">
        <f t="shared" si="561"/>
        <v>0</v>
      </c>
      <c r="I840" s="1">
        <f t="shared" si="561"/>
        <v>0</v>
      </c>
      <c r="J840" s="1">
        <f t="shared" si="561"/>
        <v>0</v>
      </c>
      <c r="K840" s="1">
        <f t="shared" si="561"/>
        <v>0</v>
      </c>
      <c r="M840" s="1"/>
    </row>
    <row r="841" spans="2:13" x14ac:dyDescent="0.35">
      <c r="B841" s="5" t="str">
        <f t="shared" si="554"/>
        <v>SPS4</v>
      </c>
      <c r="C841" s="5" t="str">
        <f t="shared" si="557"/>
        <v>CH</v>
      </c>
      <c r="D841" t="s">
        <v>2056</v>
      </c>
      <c r="E841" t="s">
        <v>8</v>
      </c>
      <c r="F841" s="1">
        <f>[1]Industry!B$63</f>
        <v>6.5822834449050616</v>
      </c>
      <c r="G841" s="1">
        <f>[1]Industry!C$63</f>
        <v>7.067853364862529</v>
      </c>
      <c r="H841" s="1">
        <f>[1]Industry!D$63</f>
        <v>6.8486523893728046</v>
      </c>
      <c r="I841" s="1">
        <f>[1]Industry!E$63</f>
        <v>7.2856610928738919</v>
      </c>
      <c r="J841" s="1">
        <f>[1]Industry!F$63</f>
        <v>7.7132133218416694</v>
      </c>
      <c r="K841" s="1">
        <f>[1]Industry!G$63</f>
        <v>8.2734818795582932</v>
      </c>
    </row>
    <row r="842" spans="2:13" x14ac:dyDescent="0.35">
      <c r="B842" s="5" t="str">
        <f t="shared" si="554"/>
        <v>SPS4</v>
      </c>
      <c r="C842" s="5" t="str">
        <f t="shared" si="557"/>
        <v>CH</v>
      </c>
      <c r="D842" t="s">
        <v>2057</v>
      </c>
      <c r="E842" t="s">
        <v>8</v>
      </c>
      <c r="F842" s="1">
        <f>F843</f>
        <v>5.3111478238092333</v>
      </c>
      <c r="G842" s="1">
        <f t="shared" ref="G842:K842" si="562">G843</f>
        <v>6.2669447821477684</v>
      </c>
      <c r="H842" s="1">
        <f t="shared" si="562"/>
        <v>5.8090581725377533</v>
      </c>
      <c r="I842" s="1">
        <f t="shared" si="562"/>
        <v>5.8970994983395668</v>
      </c>
      <c r="J842" s="1">
        <f t="shared" si="562"/>
        <v>5.7393959748711376</v>
      </c>
      <c r="K842" s="1">
        <f t="shared" si="562"/>
        <v>5.6130009193296537</v>
      </c>
    </row>
    <row r="843" spans="2:13" x14ac:dyDescent="0.35">
      <c r="B843" s="5" t="str">
        <f t="shared" si="554"/>
        <v>SPS4</v>
      </c>
      <c r="C843" s="5" t="str">
        <f t="shared" si="557"/>
        <v>CH</v>
      </c>
      <c r="D843" t="s">
        <v>2058</v>
      </c>
      <c r="E843" t="s">
        <v>8</v>
      </c>
      <c r="F843" s="1">
        <f>[1]Industry!B$64</f>
        <v>5.3111478238092333</v>
      </c>
      <c r="G843" s="1">
        <f>[1]Industry!C$64</f>
        <v>6.2669447821477684</v>
      </c>
      <c r="H843" s="1">
        <f>[1]Industry!D$64</f>
        <v>5.8090581725377533</v>
      </c>
      <c r="I843" s="1">
        <f>[1]Industry!E$64</f>
        <v>5.8970994983395668</v>
      </c>
      <c r="J843" s="1">
        <f>[1]Industry!F$64</f>
        <v>5.7393959748711376</v>
      </c>
      <c r="K843" s="1">
        <f>[1]Industry!G$64</f>
        <v>5.6130009193296537</v>
      </c>
    </row>
    <row r="844" spans="2:13" x14ac:dyDescent="0.35">
      <c r="B844" s="5" t="str">
        <f t="shared" si="554"/>
        <v>SPS4</v>
      </c>
      <c r="C844" s="5" t="str">
        <f t="shared" si="557"/>
        <v>CH</v>
      </c>
      <c r="D844" t="s">
        <v>2059</v>
      </c>
      <c r="E844" t="s">
        <v>8</v>
      </c>
      <c r="F844" s="1">
        <f>F845</f>
        <v>0.46153029641525228</v>
      </c>
      <c r="G844" s="1">
        <f t="shared" ref="G844:K844" si="563">G845</f>
        <v>0.54457994249643371</v>
      </c>
      <c r="H844" s="1">
        <f t="shared" si="563"/>
        <v>0.54482016693279922</v>
      </c>
      <c r="I844" s="1">
        <f t="shared" si="563"/>
        <v>0.54482085654666312</v>
      </c>
      <c r="J844" s="1">
        <f t="shared" si="563"/>
        <v>0.54483337386313102</v>
      </c>
      <c r="K844" s="1">
        <f t="shared" si="563"/>
        <v>0.54483520526892892</v>
      </c>
    </row>
    <row r="845" spans="2:13" x14ac:dyDescent="0.35">
      <c r="B845" s="5" t="str">
        <f t="shared" si="554"/>
        <v>SPS4</v>
      </c>
      <c r="C845" s="5" t="str">
        <f t="shared" si="557"/>
        <v>CH</v>
      </c>
      <c r="D845" t="s">
        <v>2060</v>
      </c>
      <c r="E845" t="s">
        <v>8</v>
      </c>
      <c r="F845" s="1">
        <f>[1]Industry!B$65</f>
        <v>0.46153029641525228</v>
      </c>
      <c r="G845" s="1">
        <f>[1]Industry!C$65</f>
        <v>0.54457994249643371</v>
      </c>
      <c r="H845" s="1">
        <f>[1]Industry!D$65</f>
        <v>0.54482016693279922</v>
      </c>
      <c r="I845" s="1">
        <f>[1]Industry!E$65</f>
        <v>0.54482085654666312</v>
      </c>
      <c r="J845" s="1">
        <f>[1]Industry!F$65</f>
        <v>0.54483337386313102</v>
      </c>
      <c r="K845" s="1">
        <f>[1]Industry!G$65</f>
        <v>0.54483520526892892</v>
      </c>
    </row>
    <row r="846" spans="2:13" x14ac:dyDescent="0.35">
      <c r="B846" s="5" t="str">
        <f t="shared" si="554"/>
        <v>SPS4</v>
      </c>
      <c r="C846" s="5" t="str">
        <f t="shared" si="557"/>
        <v>CH</v>
      </c>
      <c r="D846" t="s">
        <v>2061</v>
      </c>
      <c r="E846" t="s">
        <v>8</v>
      </c>
      <c r="F846" s="1">
        <f>F847</f>
        <v>4.1173783952559697</v>
      </c>
      <c r="G846" s="1">
        <f t="shared" ref="G846:K846" si="564">G847</f>
        <v>4.2663399337971022</v>
      </c>
      <c r="H846" s="1">
        <f t="shared" si="564"/>
        <v>2.9612165212960986</v>
      </c>
      <c r="I846" s="1">
        <f t="shared" si="564"/>
        <v>2.9281336413463306</v>
      </c>
      <c r="J846" s="1">
        <f t="shared" si="564"/>
        <v>2.8804317025025856</v>
      </c>
      <c r="K846" s="1">
        <f t="shared" si="564"/>
        <v>2.9376324216992522</v>
      </c>
    </row>
    <row r="847" spans="2:13" x14ac:dyDescent="0.35">
      <c r="B847" s="5" t="str">
        <f t="shared" si="554"/>
        <v>SPS4</v>
      </c>
      <c r="C847" s="5" t="str">
        <f t="shared" si="557"/>
        <v>CH</v>
      </c>
      <c r="D847" t="s">
        <v>2062</v>
      </c>
      <c r="E847" t="s">
        <v>8</v>
      </c>
      <c r="F847" s="1">
        <f>[1]Industry!B$66</f>
        <v>4.1173783952559697</v>
      </c>
      <c r="G847" s="1">
        <f>[1]Industry!C$66</f>
        <v>4.2663399337971022</v>
      </c>
      <c r="H847" s="1">
        <f>[1]Industry!D$66</f>
        <v>2.9612165212960986</v>
      </c>
      <c r="I847" s="1">
        <f>[1]Industry!E$66</f>
        <v>2.9281336413463306</v>
      </c>
      <c r="J847" s="1">
        <f>[1]Industry!F$66</f>
        <v>2.8804317025025856</v>
      </c>
      <c r="K847" s="1">
        <f>[1]Industry!G$66</f>
        <v>2.9376324216992522</v>
      </c>
    </row>
    <row r="848" spans="2:13" x14ac:dyDescent="0.35">
      <c r="B848" s="5" t="str">
        <f t="shared" si="554"/>
        <v>SPS4</v>
      </c>
      <c r="C848" s="5" t="str">
        <f t="shared" si="557"/>
        <v>CH</v>
      </c>
      <c r="D848" t="s">
        <v>2063</v>
      </c>
      <c r="E848" t="s">
        <v>8</v>
      </c>
      <c r="F848" s="1">
        <f>F849</f>
        <v>6.7689304247871174E-2</v>
      </c>
      <c r="G848" s="1">
        <f t="shared" ref="G848:K848" si="565">G849</f>
        <v>8.5502402786570494E-2</v>
      </c>
      <c r="H848" s="1">
        <f t="shared" si="565"/>
        <v>8.4085612211990637E-2</v>
      </c>
      <c r="I848" s="1">
        <f t="shared" si="565"/>
        <v>8.5586190678340945E-2</v>
      </c>
      <c r="J848" s="1">
        <f t="shared" si="565"/>
        <v>8.5448951637461204E-2</v>
      </c>
      <c r="K848" s="1">
        <f t="shared" si="565"/>
        <v>8.5577119847331934E-2</v>
      </c>
    </row>
    <row r="849" spans="2:11" x14ac:dyDescent="0.35">
      <c r="B849" s="5" t="str">
        <f t="shared" si="554"/>
        <v>SPS4</v>
      </c>
      <c r="C849" s="5" t="str">
        <f t="shared" si="557"/>
        <v>CH</v>
      </c>
      <c r="D849" t="s">
        <v>2064</v>
      </c>
      <c r="E849" t="s">
        <v>8</v>
      </c>
      <c r="F849" s="1">
        <f>[1]Industry!B$67</f>
        <v>6.7689304247871174E-2</v>
      </c>
      <c r="G849" s="1">
        <f>[1]Industry!C$67</f>
        <v>8.5502402786570494E-2</v>
      </c>
      <c r="H849" s="1">
        <f>[1]Industry!D$67</f>
        <v>8.4085612211990637E-2</v>
      </c>
      <c r="I849" s="1">
        <f>[1]Industry!E$67</f>
        <v>8.5586190678340945E-2</v>
      </c>
      <c r="J849" s="1">
        <f>[1]Industry!F$67</f>
        <v>8.5448951637461204E-2</v>
      </c>
      <c r="K849" s="1">
        <f>[1]Industry!G$67</f>
        <v>8.5577119847331934E-2</v>
      </c>
    </row>
    <row r="850" spans="2:11" x14ac:dyDescent="0.35">
      <c r="B850" s="5" t="str">
        <f t="shared" si="554"/>
        <v>SPS4</v>
      </c>
      <c r="C850" s="5" t="str">
        <f t="shared" si="557"/>
        <v>CH</v>
      </c>
      <c r="D850" t="s">
        <v>2065</v>
      </c>
      <c r="E850" t="s">
        <v>8</v>
      </c>
      <c r="F850" s="1">
        <f>F851</f>
        <v>0</v>
      </c>
      <c r="G850" s="1">
        <f t="shared" ref="G850:K850" si="566">G851</f>
        <v>0</v>
      </c>
      <c r="H850" s="1">
        <f t="shared" si="566"/>
        <v>0</v>
      </c>
      <c r="I850" s="1">
        <f t="shared" si="566"/>
        <v>1.928070350422293E-2</v>
      </c>
      <c r="J850" s="1">
        <f t="shared" si="566"/>
        <v>0.16766070507818442</v>
      </c>
      <c r="K850" s="1">
        <f t="shared" si="566"/>
        <v>0.16897124600942887</v>
      </c>
    </row>
    <row r="851" spans="2:11" x14ac:dyDescent="0.35">
      <c r="B851" s="5" t="str">
        <f t="shared" si="554"/>
        <v>SPS4</v>
      </c>
      <c r="C851" s="5" t="str">
        <f t="shared" si="557"/>
        <v>CH</v>
      </c>
      <c r="D851" t="s">
        <v>2066</v>
      </c>
      <c r="E851" t="s">
        <v>8</v>
      </c>
      <c r="F851" s="1">
        <f>[1]Industry!B$69</f>
        <v>0</v>
      </c>
      <c r="G851" s="1">
        <f>[1]Industry!C$69</f>
        <v>0</v>
      </c>
      <c r="H851" s="1">
        <f>[1]Industry!D$69</f>
        <v>0</v>
      </c>
      <c r="I851" s="1">
        <f>[1]Industry!E$69</f>
        <v>1.928070350422293E-2</v>
      </c>
      <c r="J851" s="1">
        <f>[1]Industry!F$69</f>
        <v>0.16766070507818442</v>
      </c>
      <c r="K851" s="1">
        <f>[1]Industry!G$69</f>
        <v>0.16897124600942887</v>
      </c>
    </row>
    <row r="852" spans="2:11" x14ac:dyDescent="0.35">
      <c r="B852" s="5" t="str">
        <f t="shared" si="554"/>
        <v>SPS4</v>
      </c>
      <c r="C852" s="5" t="str">
        <f t="shared" si="557"/>
        <v>CH</v>
      </c>
      <c r="D852" t="s">
        <v>2067</v>
      </c>
      <c r="E852" t="s">
        <v>8</v>
      </c>
      <c r="F852" s="1">
        <f>SUM(F853:F854)</f>
        <v>0</v>
      </c>
      <c r="G852" s="1">
        <f t="shared" ref="G852:K852" si="567">SUM(G853:G854)</f>
        <v>4.894262680569998</v>
      </c>
      <c r="H852" s="1">
        <f t="shared" si="567"/>
        <v>4.8942606562643425</v>
      </c>
      <c r="I852" s="1">
        <f t="shared" si="567"/>
        <v>4.895188510928099</v>
      </c>
      <c r="J852" s="1">
        <f t="shared" si="567"/>
        <v>7.8288594533777145</v>
      </c>
      <c r="K852" s="1">
        <f t="shared" si="567"/>
        <v>9.9640400882290621</v>
      </c>
    </row>
    <row r="853" spans="2:11" x14ac:dyDescent="0.35">
      <c r="B853" s="5" t="str">
        <f t="shared" si="554"/>
        <v>SPS4</v>
      </c>
      <c r="C853" s="5" t="str">
        <f t="shared" si="557"/>
        <v>CH</v>
      </c>
      <c r="D853" t="s">
        <v>2068</v>
      </c>
      <c r="E853" t="s">
        <v>8</v>
      </c>
      <c r="F853" s="1">
        <f>[1]Industry!B$6-F854</f>
        <v>0</v>
      </c>
      <c r="G853" s="1">
        <f>[1]Industry!C$6-G854</f>
        <v>0.85060648999816912</v>
      </c>
      <c r="H853" s="1">
        <f>[1]Industry!D$6-H854</f>
        <v>0.85060613818061359</v>
      </c>
      <c r="I853" s="1">
        <f>[1]Industry!E$6-I854</f>
        <v>0.85095047780109923</v>
      </c>
      <c r="J853" s="1">
        <f>[1]Industry!F$6-J854</f>
        <v>1.8518316572698081</v>
      </c>
      <c r="K853" s="1">
        <f>[1]Industry!G$6-K854</f>
        <v>2.565147057187982</v>
      </c>
    </row>
    <row r="854" spans="2:11" x14ac:dyDescent="0.35">
      <c r="B854" s="5" t="str">
        <f t="shared" si="554"/>
        <v>SPS4</v>
      </c>
      <c r="C854" s="5" t="str">
        <f t="shared" si="557"/>
        <v>CH</v>
      </c>
      <c r="D854" t="s">
        <v>2069</v>
      </c>
      <c r="E854" t="s">
        <v>8</v>
      </c>
      <c r="F854" s="1">
        <f>[1]Industry!B$70</f>
        <v>0</v>
      </c>
      <c r="G854" s="1">
        <f>[1]Industry!C$70</f>
        <v>4.0436561905718289</v>
      </c>
      <c r="H854" s="1">
        <f>[1]Industry!D$70</f>
        <v>4.0436545180837289</v>
      </c>
      <c r="I854" s="1">
        <f>[1]Industry!E$70</f>
        <v>4.0442380331269998</v>
      </c>
      <c r="J854" s="1">
        <f>[1]Industry!F$70</f>
        <v>5.9770277961079064</v>
      </c>
      <c r="K854" s="1">
        <f>[1]Industry!G$70</f>
        <v>7.3988930310410801</v>
      </c>
    </row>
    <row r="855" spans="2:11" x14ac:dyDescent="0.35">
      <c r="B855" s="9" t="str">
        <f t="shared" si="554"/>
        <v>SPS4</v>
      </c>
      <c r="C855" s="9" t="str">
        <f>C854</f>
        <v>CH</v>
      </c>
      <c r="D855" s="2" t="s">
        <v>687</v>
      </c>
      <c r="E855" s="2" t="s">
        <v>240</v>
      </c>
      <c r="F855" s="1" t="s">
        <v>292</v>
      </c>
      <c r="G855" s="1" t="s">
        <v>292</v>
      </c>
      <c r="H855" s="1" t="s">
        <v>292</v>
      </c>
      <c r="I855" s="1" t="s">
        <v>292</v>
      </c>
      <c r="J855" s="1" t="s">
        <v>292</v>
      </c>
      <c r="K855" s="1" t="s">
        <v>292</v>
      </c>
    </row>
    <row r="856" spans="2:11" x14ac:dyDescent="0.35">
      <c r="B856" s="5" t="str">
        <f t="shared" si="554"/>
        <v>SPS4</v>
      </c>
      <c r="C856" s="5" t="str">
        <f>C855</f>
        <v>CH</v>
      </c>
      <c r="D856" t="s">
        <v>2070</v>
      </c>
      <c r="E856" t="s">
        <v>240</v>
      </c>
      <c r="F856" s="4">
        <f>IFERROR(F818/F763,"-")</f>
        <v>0.84261542941328371</v>
      </c>
      <c r="G856" s="4">
        <f t="shared" ref="G856:K856" si="568">IFERROR(G818/G763,"-")</f>
        <v>0.84306236513985378</v>
      </c>
      <c r="H856" s="4">
        <f t="shared" si="568"/>
        <v>0.84373276872970615</v>
      </c>
      <c r="I856" s="4">
        <f t="shared" si="568"/>
        <v>0.84485010804612981</v>
      </c>
      <c r="J856" s="4">
        <f t="shared" si="568"/>
        <v>0.84708478667897646</v>
      </c>
      <c r="K856" s="4">
        <f t="shared" si="568"/>
        <v>0.84931946531182356</v>
      </c>
    </row>
    <row r="857" spans="2:11" x14ac:dyDescent="0.35">
      <c r="B857" s="5" t="str">
        <f t="shared" si="554"/>
        <v>SPS4</v>
      </c>
      <c r="C857" s="5" t="str">
        <f t="shared" ref="C857:C879" si="569">C856</f>
        <v>CH</v>
      </c>
      <c r="D857" t="s">
        <v>2071</v>
      </c>
      <c r="E857" t="s">
        <v>240</v>
      </c>
      <c r="F857" s="4">
        <f t="shared" ref="F857:K857" si="570">IFERROR(F819/F764,"-")</f>
        <v>3.0809801822513281</v>
      </c>
      <c r="G857" s="4">
        <f t="shared" si="570"/>
        <v>3.1055374774069144</v>
      </c>
      <c r="H857" s="4">
        <f t="shared" si="570"/>
        <v>3.1423734201402911</v>
      </c>
      <c r="I857" s="4">
        <f t="shared" si="570"/>
        <v>3.2037666580292492</v>
      </c>
      <c r="J857" s="4">
        <f t="shared" si="570"/>
        <v>3.3265531338071654</v>
      </c>
      <c r="K857" s="4">
        <f t="shared" si="570"/>
        <v>3.4493396095850923</v>
      </c>
    </row>
    <row r="858" spans="2:11" x14ac:dyDescent="0.35">
      <c r="B858" s="5" t="str">
        <f t="shared" si="554"/>
        <v>SPS4</v>
      </c>
      <c r="C858" s="5" t="str">
        <f t="shared" si="569"/>
        <v>CH</v>
      </c>
      <c r="D858" t="s">
        <v>2072</v>
      </c>
      <c r="E858" t="s">
        <v>240</v>
      </c>
      <c r="F858" s="4">
        <f t="shared" ref="F858:K858" si="571">IFERROR(F820/F765,"-")</f>
        <v>1</v>
      </c>
      <c r="G858" s="4">
        <f t="shared" si="571"/>
        <v>0.99999994007011084</v>
      </c>
      <c r="H858" s="4">
        <f t="shared" si="571"/>
        <v>0.99999993981192303</v>
      </c>
      <c r="I858" s="4">
        <f t="shared" si="571"/>
        <v>1.0000011792704249</v>
      </c>
      <c r="J858" s="4">
        <f t="shared" si="571"/>
        <v>1.0000049991185429</v>
      </c>
      <c r="K858" s="4">
        <f t="shared" si="571"/>
        <v>1.0022746181020235</v>
      </c>
    </row>
    <row r="859" spans="2:11" x14ac:dyDescent="0.35">
      <c r="B859" s="5" t="str">
        <f t="shared" si="554"/>
        <v>SPS4</v>
      </c>
      <c r="C859" s="5" t="str">
        <f t="shared" si="569"/>
        <v>CH</v>
      </c>
      <c r="D859" t="s">
        <v>2073</v>
      </c>
      <c r="E859" t="s">
        <v>240</v>
      </c>
      <c r="F859" s="4">
        <f>IFERROR(F822/F767,"-")</f>
        <v>0.77746213224363592</v>
      </c>
      <c r="G859" s="4">
        <f t="shared" ref="G859:K860" si="572">IFERROR(G822/G767,"-")</f>
        <v>0.7787198856493236</v>
      </c>
      <c r="H859" s="4">
        <f t="shared" si="572"/>
        <v>0.78060651575785611</v>
      </c>
      <c r="I859" s="4">
        <f t="shared" si="572"/>
        <v>0.78375089927207664</v>
      </c>
      <c r="J859" s="4">
        <f t="shared" si="572"/>
        <v>0.79003966630051958</v>
      </c>
      <c r="K859" s="4">
        <f t="shared" si="572"/>
        <v>0.79632843332896097</v>
      </c>
    </row>
    <row r="860" spans="2:11" x14ac:dyDescent="0.35">
      <c r="B860" s="5" t="str">
        <f t="shared" si="554"/>
        <v>SPS4</v>
      </c>
      <c r="C860" s="5" t="str">
        <f t="shared" si="569"/>
        <v>CH</v>
      </c>
      <c r="D860" t="s">
        <v>2074</v>
      </c>
      <c r="E860" t="s">
        <v>240</v>
      </c>
      <c r="F860" s="4">
        <f>IFERROR(F823/F768,"-")</f>
        <v>0.67612499999999998</v>
      </c>
      <c r="G860" s="4">
        <f t="shared" si="572"/>
        <v>0.67904999999999971</v>
      </c>
      <c r="H860" s="4">
        <f t="shared" si="572"/>
        <v>0.68343749999999948</v>
      </c>
      <c r="I860" s="4">
        <f t="shared" si="572"/>
        <v>0.69075000000000009</v>
      </c>
      <c r="J860" s="4">
        <f t="shared" si="572"/>
        <v>0.7053750000000002</v>
      </c>
      <c r="K860" s="4" t="str">
        <f t="shared" si="572"/>
        <v>-</v>
      </c>
    </row>
    <row r="861" spans="2:11" x14ac:dyDescent="0.35">
      <c r="B861" s="5" t="str">
        <f t="shared" si="554"/>
        <v>SPS4</v>
      </c>
      <c r="C861" s="5" t="str">
        <f t="shared" si="569"/>
        <v>CH</v>
      </c>
      <c r="D861" t="s">
        <v>2075</v>
      </c>
      <c r="E861" t="s">
        <v>240</v>
      </c>
      <c r="F861" s="4">
        <f>IFERROR(F825/F777,"-")</f>
        <v>0.80532619277996531</v>
      </c>
      <c r="G861" s="4">
        <f t="shared" ref="G861:K863" si="573">IFERROR(G825/G777,"-")</f>
        <v>0.80921230039110392</v>
      </c>
      <c r="H861" s="4">
        <f t="shared" si="573"/>
        <v>0.80665218095826907</v>
      </c>
      <c r="I861" s="4">
        <f t="shared" si="573"/>
        <v>0.80894529150964001</v>
      </c>
      <c r="J861" s="4">
        <f t="shared" si="573"/>
        <v>0.81641249299489882</v>
      </c>
      <c r="K861" s="4">
        <f t="shared" si="573"/>
        <v>0.81551807943751031</v>
      </c>
    </row>
    <row r="862" spans="2:11" x14ac:dyDescent="0.35">
      <c r="B862" s="5" t="str">
        <f t="shared" si="554"/>
        <v>SPS4</v>
      </c>
      <c r="C862" s="5" t="str">
        <f t="shared" si="569"/>
        <v>CH</v>
      </c>
      <c r="D862" t="s">
        <v>2076</v>
      </c>
      <c r="E862" t="s">
        <v>240</v>
      </c>
      <c r="F862" s="4">
        <f>IFERROR(F826/F778,"-")</f>
        <v>0</v>
      </c>
      <c r="G862" s="4">
        <f t="shared" si="573"/>
        <v>0</v>
      </c>
      <c r="H862" s="4" t="str">
        <f t="shared" si="573"/>
        <v>-</v>
      </c>
      <c r="I862" s="4" t="str">
        <f t="shared" si="573"/>
        <v>-</v>
      </c>
      <c r="J862" s="4" t="str">
        <f t="shared" si="573"/>
        <v>-</v>
      </c>
      <c r="K862" s="4" t="str">
        <f t="shared" si="573"/>
        <v>-</v>
      </c>
    </row>
    <row r="863" spans="2:11" x14ac:dyDescent="0.35">
      <c r="B863" s="5" t="str">
        <f t="shared" si="554"/>
        <v>SPS4</v>
      </c>
      <c r="C863" s="5" t="str">
        <f t="shared" si="569"/>
        <v>CH</v>
      </c>
      <c r="D863" t="s">
        <v>2077</v>
      </c>
      <c r="E863" t="s">
        <v>240</v>
      </c>
      <c r="F863" s="4">
        <f>IFERROR(F827/F779,"-")</f>
        <v>0.68853057363837544</v>
      </c>
      <c r="G863" s="4">
        <f t="shared" si="573"/>
        <v>0.57632696313470988</v>
      </c>
      <c r="H863" s="4">
        <f t="shared" si="573"/>
        <v>0.71100000000000063</v>
      </c>
      <c r="I863" s="4">
        <f t="shared" si="573"/>
        <v>0.71099999999999997</v>
      </c>
      <c r="J863" s="4">
        <f t="shared" si="573"/>
        <v>0.71099999999999897</v>
      </c>
      <c r="K863" s="4">
        <f t="shared" si="573"/>
        <v>0.71999999999999964</v>
      </c>
    </row>
    <row r="864" spans="2:11" x14ac:dyDescent="0.35">
      <c r="B864" s="5" t="str">
        <f t="shared" si="554"/>
        <v>SPS4</v>
      </c>
      <c r="C864" s="5" t="str">
        <f t="shared" si="569"/>
        <v>CH</v>
      </c>
      <c r="D864" t="s">
        <v>2078</v>
      </c>
      <c r="E864" t="s">
        <v>240</v>
      </c>
      <c r="F864" s="4">
        <f>IFERROR(F829/F788,"-")</f>
        <v>0.66500000000000026</v>
      </c>
      <c r="G864" s="4">
        <f t="shared" ref="G864:K864" si="574">IFERROR(G829/G788,"-")</f>
        <v>0.6660000000000007</v>
      </c>
      <c r="H864" s="4">
        <f t="shared" si="574"/>
        <v>0.66749999999999954</v>
      </c>
      <c r="I864" s="4">
        <f t="shared" si="574"/>
        <v>0.67000000000000026</v>
      </c>
      <c r="J864" s="4">
        <f t="shared" si="574"/>
        <v>0.67499999999999993</v>
      </c>
      <c r="K864" s="4">
        <f t="shared" si="574"/>
        <v>0.68000000000000016</v>
      </c>
    </row>
    <row r="865" spans="2:12" x14ac:dyDescent="0.35">
      <c r="B865" s="5" t="str">
        <f t="shared" si="554"/>
        <v>SPS4</v>
      </c>
      <c r="C865" s="5" t="str">
        <f t="shared" si="569"/>
        <v>CH</v>
      </c>
      <c r="D865" t="s">
        <v>2079</v>
      </c>
      <c r="E865" t="s">
        <v>240</v>
      </c>
      <c r="F865" s="4">
        <f>IFERROR(F832/F791,"-")</f>
        <v>1.2072427647705435</v>
      </c>
      <c r="G865" s="4">
        <f t="shared" ref="G865:K865" si="575">IFERROR(G832/G791,"-")</f>
        <v>0.95191961094212785</v>
      </c>
      <c r="H865" s="4">
        <f t="shared" si="575"/>
        <v>0.94249915853811761</v>
      </c>
      <c r="I865" s="4">
        <f t="shared" si="575"/>
        <v>0.98916648733238777</v>
      </c>
      <c r="J865" s="4">
        <f t="shared" si="575"/>
        <v>0.94116153848034412</v>
      </c>
      <c r="K865" s="4">
        <f t="shared" si="575"/>
        <v>0.94642784002772595</v>
      </c>
    </row>
    <row r="866" spans="2:12" x14ac:dyDescent="0.35">
      <c r="B866" s="5" t="str">
        <f t="shared" si="554"/>
        <v>SPS4</v>
      </c>
      <c r="C866" s="5" t="str">
        <f t="shared" si="569"/>
        <v>CH</v>
      </c>
      <c r="D866" t="s">
        <v>2080</v>
      </c>
      <c r="E866" t="s">
        <v>240</v>
      </c>
      <c r="F866" s="4">
        <f t="shared" ref="F866:K874" si="576">IFERROR(F833/F792,"-")</f>
        <v>1.2072427647705437</v>
      </c>
      <c r="G866" s="4">
        <f t="shared" si="576"/>
        <v>0.95191961094212796</v>
      </c>
      <c r="H866" s="4">
        <f t="shared" si="576"/>
        <v>0.94249915853811761</v>
      </c>
      <c r="I866" s="4">
        <f t="shared" si="576"/>
        <v>0.98916648733238766</v>
      </c>
      <c r="J866" s="4">
        <f t="shared" si="576"/>
        <v>0.94116153848034423</v>
      </c>
      <c r="K866" s="4">
        <f t="shared" si="576"/>
        <v>0.94642784002772606</v>
      </c>
    </row>
    <row r="867" spans="2:12" x14ac:dyDescent="0.35">
      <c r="B867" s="5" t="str">
        <f t="shared" si="554"/>
        <v>SPS4</v>
      </c>
      <c r="C867" s="5" t="str">
        <f t="shared" si="569"/>
        <v>CH</v>
      </c>
      <c r="D867" t="s">
        <v>2081</v>
      </c>
      <c r="E867" t="s">
        <v>240</v>
      </c>
      <c r="F867" s="4" t="str">
        <f t="shared" si="576"/>
        <v>-</v>
      </c>
      <c r="G867" s="4" t="str">
        <f t="shared" si="576"/>
        <v>-</v>
      </c>
      <c r="H867" s="4" t="str">
        <f t="shared" si="576"/>
        <v>-</v>
      </c>
      <c r="I867" s="4" t="str">
        <f t="shared" si="576"/>
        <v>-</v>
      </c>
      <c r="J867" s="4" t="str">
        <f t="shared" si="576"/>
        <v>-</v>
      </c>
      <c r="K867" s="4" t="str">
        <f t="shared" si="576"/>
        <v>-</v>
      </c>
    </row>
    <row r="868" spans="2:12" x14ac:dyDescent="0.35">
      <c r="B868" s="5" t="str">
        <f t="shared" si="554"/>
        <v>SPS4</v>
      </c>
      <c r="C868" s="5" t="str">
        <f t="shared" si="569"/>
        <v>CH</v>
      </c>
      <c r="D868" t="s">
        <v>2082</v>
      </c>
      <c r="E868" t="s">
        <v>240</v>
      </c>
      <c r="F868" s="4" t="str">
        <f t="shared" si="576"/>
        <v>-</v>
      </c>
      <c r="G868" s="4" t="str">
        <f t="shared" si="576"/>
        <v>-</v>
      </c>
      <c r="H868" s="4" t="str">
        <f t="shared" si="576"/>
        <v>-</v>
      </c>
      <c r="I868" s="4">
        <f t="shared" si="576"/>
        <v>0.98916648733238788</v>
      </c>
      <c r="J868" s="4">
        <f t="shared" si="576"/>
        <v>0.94116153848034412</v>
      </c>
      <c r="K868" s="4">
        <f t="shared" si="576"/>
        <v>0.94642784002772606</v>
      </c>
    </row>
    <row r="869" spans="2:12" x14ac:dyDescent="0.35">
      <c r="B869" s="5" t="str">
        <f t="shared" si="554"/>
        <v>SPS4</v>
      </c>
      <c r="C869" s="5" t="str">
        <f t="shared" si="569"/>
        <v>CH</v>
      </c>
      <c r="D869" t="s">
        <v>2083</v>
      </c>
      <c r="E869" t="s">
        <v>240</v>
      </c>
      <c r="F869" s="4">
        <f t="shared" si="576"/>
        <v>1.2072427647705437</v>
      </c>
      <c r="G869" s="4">
        <f t="shared" si="576"/>
        <v>0.95191961094212785</v>
      </c>
      <c r="H869" s="4">
        <f t="shared" si="576"/>
        <v>0.94249915853811761</v>
      </c>
      <c r="I869" s="4">
        <f t="shared" si="576"/>
        <v>0.98916648733238788</v>
      </c>
      <c r="J869" s="4">
        <f t="shared" si="576"/>
        <v>0.94116153848034423</v>
      </c>
      <c r="K869" s="4">
        <f t="shared" si="576"/>
        <v>0.94642784002772595</v>
      </c>
    </row>
    <row r="870" spans="2:12" x14ac:dyDescent="0.35">
      <c r="B870" s="5" t="str">
        <f t="shared" si="554"/>
        <v>SPS4</v>
      </c>
      <c r="C870" s="5" t="str">
        <f t="shared" si="569"/>
        <v>CH</v>
      </c>
      <c r="D870" t="s">
        <v>2084</v>
      </c>
      <c r="E870" t="s">
        <v>240</v>
      </c>
      <c r="F870" s="4" t="str">
        <f t="shared" si="576"/>
        <v>-</v>
      </c>
      <c r="G870" s="4" t="str">
        <f t="shared" si="576"/>
        <v>-</v>
      </c>
      <c r="H870" s="4" t="str">
        <f t="shared" si="576"/>
        <v>-</v>
      </c>
      <c r="I870" s="4" t="str">
        <f t="shared" si="576"/>
        <v>-</v>
      </c>
      <c r="J870" s="4" t="str">
        <f t="shared" si="576"/>
        <v>-</v>
      </c>
      <c r="K870" s="4" t="str">
        <f t="shared" si="576"/>
        <v>-</v>
      </c>
    </row>
    <row r="871" spans="2:12" x14ac:dyDescent="0.35">
      <c r="B871" s="5" t="str">
        <f t="shared" si="554"/>
        <v>SPS4</v>
      </c>
      <c r="C871" s="5" t="str">
        <f t="shared" si="569"/>
        <v>CH</v>
      </c>
      <c r="D871" t="s">
        <v>2085</v>
      </c>
      <c r="E871" t="s">
        <v>240</v>
      </c>
      <c r="F871" s="4">
        <f t="shared" si="576"/>
        <v>1.2072427647705437</v>
      </c>
      <c r="G871" s="4">
        <f t="shared" si="576"/>
        <v>0.95191961094212785</v>
      </c>
      <c r="H871" s="4">
        <f t="shared" si="576"/>
        <v>0.9424991585381175</v>
      </c>
      <c r="I871" s="4">
        <f t="shared" si="576"/>
        <v>0.98916648733238777</v>
      </c>
      <c r="J871" s="4">
        <f t="shared" si="576"/>
        <v>0.94116153848034434</v>
      </c>
      <c r="K871" s="4">
        <f t="shared" si="576"/>
        <v>0.94642784002772606</v>
      </c>
    </row>
    <row r="872" spans="2:12" x14ac:dyDescent="0.35">
      <c r="B872" s="5" t="str">
        <f t="shared" si="554"/>
        <v>SPS4</v>
      </c>
      <c r="C872" s="5" t="str">
        <f t="shared" si="569"/>
        <v>CH</v>
      </c>
      <c r="D872" t="s">
        <v>2086</v>
      </c>
      <c r="E872" t="s">
        <v>240</v>
      </c>
      <c r="F872" s="4" t="str">
        <f t="shared" si="576"/>
        <v>-</v>
      </c>
      <c r="G872" s="4" t="str">
        <f t="shared" si="576"/>
        <v>-</v>
      </c>
      <c r="H872" s="4" t="str">
        <f t="shared" si="576"/>
        <v>-</v>
      </c>
      <c r="I872" s="4" t="str">
        <f t="shared" si="576"/>
        <v>-</v>
      </c>
      <c r="J872" s="4" t="str">
        <f t="shared" si="576"/>
        <v>-</v>
      </c>
      <c r="K872" s="4" t="str">
        <f t="shared" si="576"/>
        <v>-</v>
      </c>
    </row>
    <row r="873" spans="2:12" x14ac:dyDescent="0.35">
      <c r="B873" s="5" t="str">
        <f t="shared" si="554"/>
        <v>SPS4</v>
      </c>
      <c r="C873" s="5" t="str">
        <f t="shared" si="569"/>
        <v>CH</v>
      </c>
      <c r="D873" t="s">
        <v>2087</v>
      </c>
      <c r="E873" t="s">
        <v>240</v>
      </c>
      <c r="F873" s="4" t="str">
        <f t="shared" si="576"/>
        <v>-</v>
      </c>
      <c r="G873" s="4" t="str">
        <f t="shared" si="576"/>
        <v>-</v>
      </c>
      <c r="H873" s="4" t="str">
        <f t="shared" si="576"/>
        <v>-</v>
      </c>
      <c r="I873" s="4" t="str">
        <f t="shared" si="576"/>
        <v>-</v>
      </c>
      <c r="J873" s="4" t="str">
        <f t="shared" si="576"/>
        <v>-</v>
      </c>
      <c r="K873" s="4" t="str">
        <f t="shared" si="576"/>
        <v>-</v>
      </c>
    </row>
    <row r="874" spans="2:12" x14ac:dyDescent="0.35">
      <c r="B874" s="5" t="str">
        <f t="shared" si="554"/>
        <v>SPS4</v>
      </c>
      <c r="C874" s="5" t="str">
        <f t="shared" si="569"/>
        <v>CH</v>
      </c>
      <c r="D874" t="s">
        <v>2088</v>
      </c>
      <c r="E874" t="s">
        <v>240</v>
      </c>
      <c r="F874" s="4">
        <f t="shared" si="576"/>
        <v>0.92447626236575087</v>
      </c>
      <c r="G874" s="4">
        <f t="shared" si="576"/>
        <v>0.92645636412827181</v>
      </c>
      <c r="H874" s="4">
        <f t="shared" si="576"/>
        <v>0.9294265167720549</v>
      </c>
      <c r="I874" s="4">
        <f t="shared" si="576"/>
        <v>0.93437677117835716</v>
      </c>
      <c r="J874" s="4">
        <f t="shared" si="576"/>
        <v>0.94427727999096678</v>
      </c>
      <c r="K874" s="4">
        <f>IFERROR(K841/K800,"-")</f>
        <v>0.94999999999999984</v>
      </c>
    </row>
    <row r="875" spans="2:12" x14ac:dyDescent="0.35">
      <c r="B875" s="5" t="str">
        <f t="shared" si="554"/>
        <v>SPS4</v>
      </c>
      <c r="C875" s="5" t="str">
        <f t="shared" si="569"/>
        <v>CH</v>
      </c>
      <c r="D875" t="s">
        <v>2089</v>
      </c>
      <c r="E875" t="s">
        <v>240</v>
      </c>
      <c r="F875" s="4">
        <f>IFERROR(F843/F802,"-")</f>
        <v>0.5899999999999993</v>
      </c>
      <c r="G875" s="4">
        <f t="shared" ref="G875:K875" si="577">IFERROR(G843/G802,"-")</f>
        <v>0.59066666666666667</v>
      </c>
      <c r="H875" s="4">
        <f t="shared" si="577"/>
        <v>0.59166666666666656</v>
      </c>
      <c r="I875" s="4">
        <f t="shared" si="577"/>
        <v>0.59333333333333316</v>
      </c>
      <c r="J875" s="4">
        <f t="shared" si="577"/>
        <v>0.59666666666666746</v>
      </c>
      <c r="K875" s="4">
        <f t="shared" si="577"/>
        <v>0.59999999999999987</v>
      </c>
    </row>
    <row r="876" spans="2:12" x14ac:dyDescent="0.35">
      <c r="B876" s="5" t="str">
        <f t="shared" si="554"/>
        <v>SPS4</v>
      </c>
      <c r="C876" s="5" t="str">
        <f t="shared" si="569"/>
        <v>CH</v>
      </c>
      <c r="D876" t="s">
        <v>2090</v>
      </c>
      <c r="E876" t="s">
        <v>240</v>
      </c>
      <c r="F876" s="4">
        <f>IFERROR(F845/F804,"-")</f>
        <v>0.73750000000000082</v>
      </c>
      <c r="G876" s="4">
        <f t="shared" ref="G876:K876" si="578">IFERROR(G845/G804,"-")</f>
        <v>0.73833333333333284</v>
      </c>
      <c r="H876" s="4">
        <f t="shared" si="578"/>
        <v>0.73958333333333381</v>
      </c>
      <c r="I876" s="4">
        <f t="shared" si="578"/>
        <v>0.74166666666666725</v>
      </c>
      <c r="J876" s="4">
        <f t="shared" si="578"/>
        <v>0.74583333333333401</v>
      </c>
      <c r="K876" s="4">
        <f t="shared" si="578"/>
        <v>0.75000000000000011</v>
      </c>
    </row>
    <row r="877" spans="2:12" x14ac:dyDescent="0.35">
      <c r="B877" s="5" t="str">
        <f t="shared" si="554"/>
        <v>SPS4</v>
      </c>
      <c r="C877" s="5" t="str">
        <f t="shared" si="569"/>
        <v>CH</v>
      </c>
      <c r="D877" t="s">
        <v>2091</v>
      </c>
      <c r="E877" t="s">
        <v>240</v>
      </c>
      <c r="F877" s="4">
        <f>IFERROR(F847/F806,"-")</f>
        <v>0.52800000000000002</v>
      </c>
      <c r="G877" s="4">
        <f t="shared" ref="G877:K877" si="579">IFERROR(G847/G806,"-")</f>
        <v>0.52800000000000002</v>
      </c>
      <c r="H877" s="4">
        <f t="shared" si="579"/>
        <v>0.52800000000000014</v>
      </c>
      <c r="I877" s="4">
        <f t="shared" si="579"/>
        <v>0.5280000000000008</v>
      </c>
      <c r="J877" s="4">
        <f t="shared" si="579"/>
        <v>0.5279999999999998</v>
      </c>
      <c r="K877" s="4">
        <f t="shared" si="579"/>
        <v>0.54399999999999993</v>
      </c>
    </row>
    <row r="878" spans="2:12" x14ac:dyDescent="0.35">
      <c r="B878" s="5" t="str">
        <f t="shared" si="554"/>
        <v>SPS4</v>
      </c>
      <c r="C878" s="5" t="str">
        <f t="shared" si="569"/>
        <v>CH</v>
      </c>
      <c r="D878" t="s">
        <v>2092</v>
      </c>
      <c r="E878" t="s">
        <v>240</v>
      </c>
      <c r="F878" s="4">
        <f>IFERROR(F849/F810,"-")</f>
        <v>1</v>
      </c>
      <c r="G878" s="4">
        <f t="shared" ref="G878:K878" si="580">IFERROR(G849/G810,"-")</f>
        <v>1</v>
      </c>
      <c r="H878" s="4">
        <f t="shared" si="580"/>
        <v>1</v>
      </c>
      <c r="I878" s="4">
        <f t="shared" si="580"/>
        <v>1</v>
      </c>
      <c r="J878" s="4">
        <f t="shared" si="580"/>
        <v>1</v>
      </c>
      <c r="K878" s="4">
        <f t="shared" si="580"/>
        <v>1</v>
      </c>
    </row>
    <row r="879" spans="2:12" x14ac:dyDescent="0.35">
      <c r="B879" s="5" t="str">
        <f t="shared" si="554"/>
        <v>SPS4</v>
      </c>
      <c r="C879" s="5" t="str">
        <f t="shared" si="569"/>
        <v>CH</v>
      </c>
      <c r="D879" t="s">
        <v>2093</v>
      </c>
      <c r="E879" t="s">
        <v>240</v>
      </c>
      <c r="F879" s="4" t="str">
        <f>IFERROR(F851/F812,"-")</f>
        <v>-</v>
      </c>
      <c r="G879" s="4" t="str">
        <f t="shared" ref="G879:K879" si="581">IFERROR(G851/G812,"-")</f>
        <v>-</v>
      </c>
      <c r="H879" s="4" t="str">
        <f t="shared" si="581"/>
        <v>-</v>
      </c>
      <c r="I879" s="4">
        <f t="shared" si="581"/>
        <v>0.44275069226397279</v>
      </c>
      <c r="J879" s="4">
        <f t="shared" si="581"/>
        <v>0.45381978291618158</v>
      </c>
      <c r="K879" s="4">
        <f t="shared" si="581"/>
        <v>0.50337536778761904</v>
      </c>
    </row>
    <row r="880" spans="2:12" x14ac:dyDescent="0.35">
      <c r="B880" s="9" t="str">
        <f t="shared" si="554"/>
        <v>SPS4</v>
      </c>
      <c r="C880" s="9" t="str">
        <f>C814</f>
        <v>CH</v>
      </c>
      <c r="D880" s="2" t="s">
        <v>674</v>
      </c>
      <c r="E880" s="9" t="s">
        <v>8</v>
      </c>
      <c r="F880" s="17">
        <f t="shared" ref="F880:K880" si="582">F881+F885+F892+F903+F911+F913+F915+F917+F921</f>
        <v>140.10121131441858</v>
      </c>
      <c r="G880" s="17">
        <f t="shared" si="582"/>
        <v>139.64794156158999</v>
      </c>
      <c r="H880" s="17">
        <f t="shared" si="582"/>
        <v>133.57022269424343</v>
      </c>
      <c r="I880" s="17">
        <f t="shared" si="582"/>
        <v>128.78420029902784</v>
      </c>
      <c r="J880" s="17">
        <f t="shared" si="582"/>
        <v>121.33777638070804</v>
      </c>
      <c r="K880" s="17">
        <f t="shared" si="582"/>
        <v>113.62549273281392</v>
      </c>
      <c r="L880" s="17"/>
    </row>
    <row r="881" spans="2:12" x14ac:dyDescent="0.35">
      <c r="B881" s="5" t="str">
        <f t="shared" si="554"/>
        <v>SPS4</v>
      </c>
      <c r="C881" s="5" t="str">
        <f>C880</f>
        <v>CH</v>
      </c>
      <c r="D881" t="s">
        <v>963</v>
      </c>
      <c r="E881" t="s">
        <v>8</v>
      </c>
      <c r="F881" s="1">
        <f>[1]Services!B$11</f>
        <v>60.950056286207641</v>
      </c>
      <c r="G881" s="1">
        <f>[1]Services!C$11</f>
        <v>60.772363243904238</v>
      </c>
      <c r="H881" s="1">
        <f>[1]Services!D$11</f>
        <v>61.27771443700945</v>
      </c>
      <c r="I881" s="1">
        <f>[1]Services!E$11</f>
        <v>61.677503379841276</v>
      </c>
      <c r="J881" s="1">
        <f>[1]Services!F$11</f>
        <v>62.594801130795972</v>
      </c>
      <c r="K881" s="1">
        <f>[1]Services!G$11</f>
        <v>62.114496080630126</v>
      </c>
    </row>
    <row r="882" spans="2:12" x14ac:dyDescent="0.35">
      <c r="B882" s="5" t="str">
        <f t="shared" si="554"/>
        <v>SPS4</v>
      </c>
      <c r="C882" s="5" t="str">
        <f>C881</f>
        <v>CH</v>
      </c>
      <c r="D882" t="s">
        <v>759</v>
      </c>
      <c r="E882" t="s">
        <v>8</v>
      </c>
      <c r="F882" s="1" cm="1">
        <f t="array" ref="F882">SUMPRODUCT(([1]OUT_FinalEnergyCons!$B$4:$B$10000="Var_Fin")*1, ISNUMBER(SEARCH("SCOM_ELC",[1]OUT_FinalEnergyCons!$C$4:$C$10000))*1, (ISNUMBER(SEARCH("SCOM-SHELCBR",[1]OUT_FinalEnergyCons!$A$4:$A$10000)))*1,[1]OUT_FinalEnergyCons!D$4:D$10000)</f>
        <v>2.6236354716529089</v>
      </c>
      <c r="G882" s="1" cm="1">
        <f t="array" ref="G882">SUMPRODUCT(([1]OUT_FinalEnergyCons!$B$4:$B$10000="Var_Fin")*1, ISNUMBER(SEARCH("SCOM_ELC",[1]OUT_FinalEnergyCons!$C$4:$C$10000))*1, (ISNUMBER(SEARCH("SCOM-SHELCBR",[1]OUT_FinalEnergyCons!$A$4:$A$10000)))*1,[1]OUT_FinalEnergyCons!E$4:E$10000)</f>
        <v>0.64526046461786668</v>
      </c>
      <c r="H882" s="1" cm="1">
        <f t="array" ref="H882">SUMPRODUCT(([1]OUT_FinalEnergyCons!$B$4:$B$10000="Var_Fin")*1, ISNUMBER(SEARCH("SCOM_ELC",[1]OUT_FinalEnergyCons!$C$4:$C$10000))*1, (ISNUMBER(SEARCH("SCOM-SHELCBR",[1]OUT_FinalEnergyCons!$A$4:$A$10000)))*1,[1]OUT_FinalEnergyCons!F$4:F$10000)</f>
        <v>1.1043577209507007</v>
      </c>
      <c r="I882" s="1" cm="1">
        <f t="array" ref="I882">SUMPRODUCT(([1]OUT_FinalEnergyCons!$B$4:$B$10000="Var_Fin")*1, ISNUMBER(SEARCH("SCOM_ELC",[1]OUT_FinalEnergyCons!$C$4:$C$10000))*1, (ISNUMBER(SEARCH("SCOM-SHELCBR",[1]OUT_FinalEnergyCons!$A$4:$A$10000)))*1,[1]OUT_FinalEnergyCons!G$4:G$10000)</f>
        <v>0.72939087580658435</v>
      </c>
      <c r="J882" s="1" cm="1">
        <f t="array" ref="J882">SUMPRODUCT(([1]OUT_FinalEnergyCons!$B$4:$B$10000="Var_Fin")*1, ISNUMBER(SEARCH("SCOM_ELC",[1]OUT_FinalEnergyCons!$C$4:$C$10000))*1, (ISNUMBER(SEARCH("SCOM-SHELCBR",[1]OUT_FinalEnergyCons!$A$4:$A$10000)))*1,[1]OUT_FinalEnergyCons!H$4:H$10000)</f>
        <v>0.52257596503694448</v>
      </c>
      <c r="K882" s="1" cm="1">
        <f t="array" ref="K882">SUMPRODUCT(([1]OUT_FinalEnergyCons!$B$4:$B$10000="Var_Fin")*1, ISNUMBER(SEARCH("SCOM_ELC",[1]OUT_FinalEnergyCons!$C$4:$C$10000))*1, (ISNUMBER(SEARCH("SCOM-SHELCBR",[1]OUT_FinalEnergyCons!$A$4:$A$10000)))*1,[1]OUT_FinalEnergyCons!I$4:I$10000)</f>
        <v>0.3690119480059682</v>
      </c>
    </row>
    <row r="883" spans="2:12" x14ac:dyDescent="0.35">
      <c r="B883" s="5" t="str">
        <f t="shared" si="554"/>
        <v>SPS4</v>
      </c>
      <c r="C883" s="5" t="str">
        <f t="shared" ref="C883:C922" si="583">C882</f>
        <v>CH</v>
      </c>
      <c r="D883" t="s">
        <v>725</v>
      </c>
      <c r="E883" t="s">
        <v>8</v>
      </c>
      <c r="F883" s="1" cm="1">
        <f t="array" ref="F883">SUMPRODUCT(([1]OUT_FinalEnergyCons!$B$4:$B$10000="Var_Fin")*1, ISNUMBER(SEARCH("SCOM_ELC",[1]OUT_FinalEnergyCons!$C$4:$C$10000))*1,(ISNUMBER(SEARCH("SCOM-SHELCHP",[1]OUT_FinalEnergyCons!$A$4:$A$10000)))*1,[1]OUT_FinalEnergyCons!D$4:D$10000)</f>
        <v>1.3316462396422868</v>
      </c>
      <c r="G883" s="1" cm="1">
        <f t="array" ref="G883">SUMPRODUCT(([1]OUT_FinalEnergyCons!$B$4:$B$10000="Var_Fin")*1, ISNUMBER(SEARCH("SCOM_ELC",[1]OUT_FinalEnergyCons!$C$4:$C$10000))*1,(ISNUMBER(SEARCH("SCOM-SHELCHP",[1]OUT_FinalEnergyCons!$A$4:$A$10000)))*1,[1]OUT_FinalEnergyCons!E$4:E$10000)</f>
        <v>1.4252080172104546</v>
      </c>
      <c r="H883" s="1" cm="1">
        <f t="array" ref="H883">SUMPRODUCT(([1]OUT_FinalEnergyCons!$B$4:$B$10000="Var_Fin")*1, ISNUMBER(SEARCH("SCOM_ELC",[1]OUT_FinalEnergyCons!$C$4:$C$10000))*1,(ISNUMBER(SEARCH("SCOM-SHELCHP",[1]OUT_FinalEnergyCons!$A$4:$A$10000)))*1,[1]OUT_FinalEnergyCons!F$4:F$10000)</f>
        <v>1.6584952733930072</v>
      </c>
      <c r="I883" s="1" cm="1">
        <f t="array" ref="I883">SUMPRODUCT(([1]OUT_FinalEnergyCons!$B$4:$B$10000="Var_Fin")*1, ISNUMBER(SEARCH("SCOM_ELC",[1]OUT_FinalEnergyCons!$C$4:$C$10000))*1,(ISNUMBER(SEARCH("SCOM-SHELCHP",[1]OUT_FinalEnergyCons!$A$4:$A$10000)))*1,[1]OUT_FinalEnergyCons!G$4:G$10000)</f>
        <v>2.4321287920014383</v>
      </c>
      <c r="J883" s="1" cm="1">
        <f t="array" ref="J883">SUMPRODUCT(([1]OUT_FinalEnergyCons!$B$4:$B$10000="Var_Fin")*1, ISNUMBER(SEARCH("SCOM_ELC",[1]OUT_FinalEnergyCons!$C$4:$C$10000))*1,(ISNUMBER(SEARCH("SCOM-SHELCHP",[1]OUT_FinalEnergyCons!$A$4:$A$10000)))*1,[1]OUT_FinalEnergyCons!H$4:H$10000)</f>
        <v>3.4890575411696938</v>
      </c>
      <c r="K883" s="1" cm="1">
        <f t="array" ref="K883">SUMPRODUCT(([1]OUT_FinalEnergyCons!$B$4:$B$10000="Var_Fin")*1, ISNUMBER(SEARCH("SCOM_ELC",[1]OUT_FinalEnergyCons!$C$4:$C$10000))*1,(ISNUMBER(SEARCH("SCOM-SHELCHP",[1]OUT_FinalEnergyCons!$A$4:$A$10000)))*1,[1]OUT_FinalEnergyCons!I$4:I$10000)</f>
        <v>4.3952136073097456</v>
      </c>
    </row>
    <row r="884" spans="2:12" x14ac:dyDescent="0.35">
      <c r="B884" s="5" t="str">
        <f t="shared" ref="B884:B947" si="584">B883</f>
        <v>SPS4</v>
      </c>
      <c r="C884" s="5" t="str">
        <f t="shared" si="583"/>
        <v>CH</v>
      </c>
      <c r="D884" t="s">
        <v>508</v>
      </c>
      <c r="E884" t="s">
        <v>8</v>
      </c>
      <c r="F884" s="1">
        <f>[1]Services!B$11-[1]Services!B$28</f>
        <v>56.994774574912448</v>
      </c>
      <c r="G884" s="1">
        <f>[1]Services!C$11-[1]Services!C$28</f>
        <v>58.701894762075916</v>
      </c>
      <c r="H884" s="1">
        <f>[1]Services!D$11-[1]Services!D$28</f>
        <v>58.51486144266574</v>
      </c>
      <c r="I884" s="1">
        <f>[1]Services!E$11-[1]Services!E$28</f>
        <v>58.515983712033254</v>
      </c>
      <c r="J884" s="1">
        <f>[1]Services!F$11-[1]Services!F$28</f>
        <v>58.583167624589336</v>
      </c>
      <c r="K884" s="1">
        <f>[1]Services!G$11-[1]Services!G$28</f>
        <v>57.350270525314414</v>
      </c>
    </row>
    <row r="885" spans="2:12" x14ac:dyDescent="0.35">
      <c r="B885" s="5" t="str">
        <f t="shared" si="584"/>
        <v>SPS4</v>
      </c>
      <c r="C885" s="5" t="str">
        <f t="shared" si="583"/>
        <v>CH</v>
      </c>
      <c r="D885" t="s">
        <v>499</v>
      </c>
      <c r="E885" t="s">
        <v>8</v>
      </c>
      <c r="F885" s="1">
        <f>F886</f>
        <v>30.256634448509324</v>
      </c>
      <c r="G885" s="1">
        <f t="shared" ref="G885:K885" si="585">G886</f>
        <v>26.525164356439156</v>
      </c>
      <c r="H885" s="1">
        <f t="shared" si="585"/>
        <v>26.49623702374738</v>
      </c>
      <c r="I885" s="1">
        <f t="shared" si="585"/>
        <v>19.190922916305198</v>
      </c>
      <c r="J885" s="1">
        <f t="shared" si="585"/>
        <v>12.019388751947385</v>
      </c>
      <c r="K885" s="1">
        <f t="shared" si="585"/>
        <v>5.1942290398926581</v>
      </c>
      <c r="L885" s="1"/>
    </row>
    <row r="886" spans="2:12" x14ac:dyDescent="0.35">
      <c r="B886" s="5" t="str">
        <f t="shared" si="584"/>
        <v>SPS4</v>
      </c>
      <c r="C886" s="5" t="str">
        <f t="shared" si="583"/>
        <v>CH</v>
      </c>
      <c r="D886" t="s">
        <v>500</v>
      </c>
      <c r="E886" t="s">
        <v>8</v>
      </c>
      <c r="F886" s="1">
        <f>SUM(F889,F891)</f>
        <v>30.256634448509324</v>
      </c>
      <c r="G886" s="1">
        <f t="shared" ref="G886:K886" si="586">SUM(G889,G891)</f>
        <v>26.525164356439156</v>
      </c>
      <c r="H886" s="1">
        <f t="shared" si="586"/>
        <v>26.49623702374738</v>
      </c>
      <c r="I886" s="1">
        <f t="shared" si="586"/>
        <v>19.190922916305198</v>
      </c>
      <c r="J886" s="1">
        <f t="shared" si="586"/>
        <v>12.019388751947385</v>
      </c>
      <c r="K886" s="1">
        <f t="shared" si="586"/>
        <v>5.1942290398926581</v>
      </c>
    </row>
    <row r="887" spans="2:12" x14ac:dyDescent="0.35">
      <c r="B887" s="5" t="str">
        <f t="shared" si="584"/>
        <v>SPS4</v>
      </c>
      <c r="C887" s="5" t="str">
        <f>C886</f>
        <v>CH</v>
      </c>
      <c r="D887" t="s">
        <v>964</v>
      </c>
      <c r="E887" t="s">
        <v>8</v>
      </c>
      <c r="F887" s="1">
        <f>F888</f>
        <v>30.256634448509324</v>
      </c>
      <c r="G887" s="1">
        <f t="shared" ref="G887:K887" si="587">G888</f>
        <v>26.525164356439156</v>
      </c>
      <c r="H887" s="1">
        <f t="shared" si="587"/>
        <v>26.496173961464752</v>
      </c>
      <c r="I887" s="1">
        <f t="shared" si="587"/>
        <v>19.190741503788207</v>
      </c>
      <c r="J887" s="1">
        <f t="shared" si="587"/>
        <v>12.019184431786845</v>
      </c>
      <c r="K887" s="1">
        <f t="shared" si="587"/>
        <v>5.1940886535604145</v>
      </c>
    </row>
    <row r="888" spans="2:12" x14ac:dyDescent="0.35">
      <c r="B888" s="5" t="str">
        <f t="shared" si="584"/>
        <v>SPS4</v>
      </c>
      <c r="C888" s="5" t="str">
        <f t="shared" si="583"/>
        <v>CH</v>
      </c>
      <c r="D888" t="s">
        <v>528</v>
      </c>
      <c r="E888" t="s">
        <v>8</v>
      </c>
      <c r="F888" s="1">
        <f>[1]Services!B$12</f>
        <v>30.256634448509324</v>
      </c>
      <c r="G888" s="1">
        <f>[1]Services!C$12</f>
        <v>26.525164356439156</v>
      </c>
      <c r="H888" s="1">
        <f>[1]Services!D$12</f>
        <v>26.496173961464752</v>
      </c>
      <c r="I888" s="1">
        <f>[1]Services!E$12</f>
        <v>19.190741503788207</v>
      </c>
      <c r="J888" s="1">
        <f>[1]Services!F$12</f>
        <v>12.019184431786845</v>
      </c>
      <c r="K888" s="1">
        <f>[1]Services!G$12</f>
        <v>5.1940886535604145</v>
      </c>
    </row>
    <row r="889" spans="2:12" x14ac:dyDescent="0.35">
      <c r="B889" s="5" t="str">
        <f t="shared" si="584"/>
        <v>SPS4</v>
      </c>
      <c r="C889" s="5" t="str">
        <f t="shared" si="583"/>
        <v>CH</v>
      </c>
      <c r="D889" t="s">
        <v>529</v>
      </c>
      <c r="E889" t="s">
        <v>8</v>
      </c>
      <c r="F889" s="1">
        <f>F888</f>
        <v>30.256634448509324</v>
      </c>
      <c r="G889" s="1">
        <f t="shared" ref="G889:K889" si="588">G888</f>
        <v>26.525164356439156</v>
      </c>
      <c r="H889" s="1">
        <f t="shared" si="588"/>
        <v>26.496173961464752</v>
      </c>
      <c r="I889" s="1">
        <f t="shared" si="588"/>
        <v>19.190741503788207</v>
      </c>
      <c r="J889" s="1">
        <f t="shared" si="588"/>
        <v>12.019184431786845</v>
      </c>
      <c r="K889" s="1">
        <f t="shared" si="588"/>
        <v>5.1940886535604145</v>
      </c>
    </row>
    <row r="890" spans="2:12" x14ac:dyDescent="0.35">
      <c r="B890" s="5" t="str">
        <f t="shared" si="584"/>
        <v>SPS4</v>
      </c>
      <c r="C890" s="5" t="str">
        <f>C889</f>
        <v>CH</v>
      </c>
      <c r="D890" t="s">
        <v>965</v>
      </c>
      <c r="E890" t="s">
        <v>8</v>
      </c>
      <c r="F890">
        <f>F891</f>
        <v>0</v>
      </c>
      <c r="G890">
        <f t="shared" ref="G890:K890" si="589">G891</f>
        <v>0</v>
      </c>
      <c r="H890">
        <f t="shared" si="589"/>
        <v>6.3062282626303586E-5</v>
      </c>
      <c r="I890">
        <f t="shared" si="589"/>
        <v>1.8141251698940928E-4</v>
      </c>
      <c r="J890">
        <f t="shared" si="589"/>
        <v>2.0432016053988428E-4</v>
      </c>
      <c r="K890">
        <f t="shared" si="589"/>
        <v>1.4038633224352126E-4</v>
      </c>
    </row>
    <row r="891" spans="2:12" x14ac:dyDescent="0.35">
      <c r="B891" s="5" t="str">
        <f t="shared" si="584"/>
        <v>SPS4</v>
      </c>
      <c r="C891" s="5" t="str">
        <f t="shared" si="583"/>
        <v>CH</v>
      </c>
      <c r="D891" t="s">
        <v>966</v>
      </c>
      <c r="E891" t="s">
        <v>8</v>
      </c>
      <c r="F891">
        <f>[1]Services!B$13</f>
        <v>0</v>
      </c>
      <c r="G891">
        <f>[1]Services!C$13</f>
        <v>0</v>
      </c>
      <c r="H891">
        <f>[1]Services!D$13</f>
        <v>6.3062282626303586E-5</v>
      </c>
      <c r="I891">
        <f>[1]Services!E$13</f>
        <v>1.8141251698940928E-4</v>
      </c>
      <c r="J891">
        <f>[1]Services!F$13</f>
        <v>2.0432016053988428E-4</v>
      </c>
      <c r="K891">
        <f>[1]Services!G$13</f>
        <v>1.4038633224352126E-4</v>
      </c>
    </row>
    <row r="892" spans="2:12" x14ac:dyDescent="0.35">
      <c r="B892" s="5" t="str">
        <f t="shared" si="584"/>
        <v>SPS4</v>
      </c>
      <c r="C892" s="5" t="str">
        <f t="shared" si="583"/>
        <v>CH</v>
      </c>
      <c r="D892" t="s">
        <v>501</v>
      </c>
      <c r="E892" t="s">
        <v>8</v>
      </c>
      <c r="F892" s="1">
        <f>SUM(F893:F895)</f>
        <v>26.950976671960003</v>
      </c>
      <c r="G892" s="1">
        <f t="shared" ref="G892:K892" si="590">SUM(G893:G895)</f>
        <v>28.287018824454691</v>
      </c>
      <c r="H892" s="1">
        <f t="shared" si="590"/>
        <v>26.03417138078764</v>
      </c>
      <c r="I892" s="1">
        <f t="shared" si="590"/>
        <v>24.610270375322155</v>
      </c>
      <c r="J892" s="1">
        <f t="shared" si="590"/>
        <v>20.227030894652248</v>
      </c>
      <c r="K892" s="1">
        <f t="shared" si="590"/>
        <v>16.769157317426497</v>
      </c>
    </row>
    <row r="893" spans="2:12" x14ac:dyDescent="0.35">
      <c r="B893" s="5" t="str">
        <f t="shared" si="584"/>
        <v>SPS4</v>
      </c>
      <c r="C893" s="5" t="str">
        <f t="shared" si="583"/>
        <v>CH</v>
      </c>
      <c r="D893" t="s">
        <v>681</v>
      </c>
      <c r="E893" t="s">
        <v>8</v>
      </c>
      <c r="F893" s="1">
        <f>SUM([1]Services!B$14:B$15)-F894</f>
        <v>25.548690245103202</v>
      </c>
      <c r="G893" s="1">
        <f>SUM([1]Services!C$14:C$15)</f>
        <v>26.749783914682386</v>
      </c>
      <c r="H893" s="1">
        <f>SUM([1]Services!D$14:D$15)</f>
        <v>25.114913658245474</v>
      </c>
      <c r="I893" s="1">
        <f>SUM([1]Services!E$14:E$15)</f>
        <v>22.83951710078556</v>
      </c>
      <c r="J893" s="1">
        <f>SUM([1]Services!F$14:F$15)</f>
        <v>17.287235256728437</v>
      </c>
      <c r="K893" s="1">
        <f>SUM([1]Services!G$14:G$15)</f>
        <v>12.675805059348304</v>
      </c>
    </row>
    <row r="894" spans="2:12" x14ac:dyDescent="0.35">
      <c r="B894" s="5" t="str">
        <f t="shared" si="584"/>
        <v>SPS4</v>
      </c>
      <c r="C894" s="5" t="str">
        <f t="shared" ref="C894" si="591">C893</f>
        <v>CH</v>
      </c>
      <c r="D894" t="s">
        <v>726</v>
      </c>
      <c r="E894" t="s">
        <v>8</v>
      </c>
      <c r="F894" s="1" cm="1">
        <f t="array" ref="F894">SUMPRODUCT(([1]OUT_FinalEnergyCons!$B$4:$B$10000="Var_Fin")*1, ([1]OUT_FinalEnergyCons!$C$4:$C$10000="SNGA")*1,(ISNUMBER(SEARCH("SCOM-SHngahp",[1]OUT_FinalEnergyCons!$A$4:$A$10000)))*1,[1]OUT_FinalEnergyCons!D$4:D$10000)</f>
        <v>0</v>
      </c>
      <c r="G894" s="1" cm="1">
        <f t="array" ref="G894">SUMPRODUCT(([1]OUT_FinalEnergyCons!$B$4:$B$10000="Var_Fin")*1, ([1]OUT_FinalEnergyCons!$C$4:$C$10000="SNGA")*1,(ISNUMBER(SEARCH("SCOM-SHngahp",[1]OUT_FinalEnergyCons!$A$4:$A$10000)))*1,[1]OUT_FinalEnergyCons!E$4:E$10000)</f>
        <v>0</v>
      </c>
      <c r="H894" s="1" cm="1">
        <f t="array" ref="H894">SUMPRODUCT(([1]OUT_FinalEnergyCons!$B$4:$B$10000="Var_Fin")*1, ([1]OUT_FinalEnergyCons!$C$4:$C$10000="SNGA")*1,(ISNUMBER(SEARCH("SCOM-SHngahp",[1]OUT_FinalEnergyCons!$A$4:$A$10000)))*1,[1]OUT_FinalEnergyCons!F$4:F$10000)</f>
        <v>0.91925772254216775</v>
      </c>
      <c r="I894" s="1" cm="1">
        <f t="array" ref="I894">SUMPRODUCT(([1]OUT_FinalEnergyCons!$B$4:$B$10000="Var_Fin")*1, ([1]OUT_FinalEnergyCons!$C$4:$C$10000="SNGA")*1,(ISNUMBER(SEARCH("SCOM-SHngahp",[1]OUT_FinalEnergyCons!$A$4:$A$10000)))*1,[1]OUT_FinalEnergyCons!G$4:G$10000)</f>
        <v>1.7707532745365944</v>
      </c>
      <c r="J894" s="1" cm="1">
        <f t="array" ref="J894">SUMPRODUCT(([1]OUT_FinalEnergyCons!$B$4:$B$10000="Var_Fin")*1, ([1]OUT_FinalEnergyCons!$C$4:$C$10000="SNGA")*1,(ISNUMBER(SEARCH("SCOM-SHngahp",[1]OUT_FinalEnergyCons!$A$4:$A$10000)))*1,[1]OUT_FinalEnergyCons!H$4:H$10000)</f>
        <v>2.9397956379238117</v>
      </c>
      <c r="K894" s="1" cm="1">
        <f t="array" ref="K894">SUMPRODUCT(([1]OUT_FinalEnergyCons!$B$4:$B$10000="Var_Fin")*1, ([1]OUT_FinalEnergyCons!$C$4:$C$10000="SNGA")*1,(ISNUMBER(SEARCH("SCOM-SHngahp",[1]OUT_FinalEnergyCons!$A$4:$A$10000)))*1,[1]OUT_FinalEnergyCons!I$4:I$10000)</f>
        <v>4.0933522580781911</v>
      </c>
    </row>
    <row r="895" spans="2:12" x14ac:dyDescent="0.35">
      <c r="B895" s="5" t="str">
        <f t="shared" si="584"/>
        <v>SPS4</v>
      </c>
      <c r="C895" s="5" t="str">
        <f>C893</f>
        <v>CH</v>
      </c>
      <c r="D895" t="s">
        <v>502</v>
      </c>
      <c r="E895" t="s">
        <v>8</v>
      </c>
      <c r="F895" s="1">
        <f>[1]Services!B$16</f>
        <v>1.4022864268567998</v>
      </c>
      <c r="G895" s="1">
        <f>[1]Services!C$16</f>
        <v>1.5372349097723037</v>
      </c>
      <c r="H895" s="1">
        <f>[1]Services!D$16</f>
        <v>0</v>
      </c>
      <c r="I895" s="1">
        <f>[1]Services!E$16</f>
        <v>0</v>
      </c>
      <c r="J895" s="1">
        <f>[1]Services!F$16</f>
        <v>0</v>
      </c>
      <c r="K895" s="1">
        <f>[1]Services!G$16</f>
        <v>0</v>
      </c>
    </row>
    <row r="896" spans="2:12" x14ac:dyDescent="0.35">
      <c r="B896" s="5" t="str">
        <f t="shared" si="584"/>
        <v>SPS4</v>
      </c>
      <c r="C896" s="5" t="str">
        <f t="shared" si="583"/>
        <v>CH</v>
      </c>
      <c r="D896" t="s">
        <v>967</v>
      </c>
      <c r="E896" t="s">
        <v>8</v>
      </c>
      <c r="F896" s="1">
        <f>[1]Services!B$14</f>
        <v>25.260328489203676</v>
      </c>
      <c r="G896" s="1">
        <f>[1]Services!C$14</f>
        <v>25.155371292348423</v>
      </c>
      <c r="H896" s="1">
        <f>[1]Services!D$14</f>
        <v>24.147178539803225</v>
      </c>
      <c r="I896" s="1">
        <f>[1]Services!E$14</f>
        <v>22.838834546337004</v>
      </c>
      <c r="J896" s="1">
        <f>[1]Services!F$14</f>
        <v>17.287083848729747</v>
      </c>
      <c r="K896" s="1">
        <f>[1]Services!G$14</f>
        <v>12.6757477598618</v>
      </c>
    </row>
    <row r="897" spans="2:11" x14ac:dyDescent="0.35">
      <c r="B897" s="5" t="str">
        <f t="shared" si="584"/>
        <v>SPS4</v>
      </c>
      <c r="C897" s="5" t="str">
        <f t="shared" si="583"/>
        <v>CH</v>
      </c>
      <c r="D897" t="s">
        <v>682</v>
      </c>
      <c r="E897" t="s">
        <v>8</v>
      </c>
      <c r="F897" s="1">
        <f>[1]Services!B$14*IFERROR(F893/SUM(F893:F894),0)</f>
        <v>25.260328489203676</v>
      </c>
      <c r="G897" s="1">
        <f>[1]Services!C$14*IFERROR(G893/SUM(G893:G894),0)</f>
        <v>25.155371292348423</v>
      </c>
      <c r="H897" s="1">
        <f>[1]Services!D$14*IFERROR(H893/SUM(H893:H894),0)</f>
        <v>23.294549891645072</v>
      </c>
      <c r="I897" s="1">
        <f>[1]Services!E$14*IFERROR(I893/SUM(I893:I894),0)</f>
        <v>21.195539269903197</v>
      </c>
      <c r="J897" s="1">
        <f>[1]Services!F$14*IFERROR(J893/SUM(J893:J894),0)</f>
        <v>14.774579964417438</v>
      </c>
      <c r="K897" s="1">
        <f>[1]Services!G$14*IFERROR(K893/SUM(K893:K894),0)</f>
        <v>9.5815970083663924</v>
      </c>
    </row>
    <row r="898" spans="2:11" x14ac:dyDescent="0.35">
      <c r="B898" s="5" t="str">
        <f t="shared" si="584"/>
        <v>SPS4</v>
      </c>
      <c r="C898" s="5" t="str">
        <f t="shared" ref="C898" si="592">C897</f>
        <v>CH</v>
      </c>
      <c r="D898" t="s">
        <v>727</v>
      </c>
      <c r="E898" t="s">
        <v>8</v>
      </c>
      <c r="F898" s="1">
        <f>F896-F897</f>
        <v>0</v>
      </c>
      <c r="G898" s="1">
        <f t="shared" ref="G898:K898" si="593">G896-G897</f>
        <v>0</v>
      </c>
      <c r="H898" s="1">
        <f t="shared" si="593"/>
        <v>0.8526286481581522</v>
      </c>
      <c r="I898" s="1">
        <f t="shared" si="593"/>
        <v>1.6432952764338076</v>
      </c>
      <c r="J898" s="1">
        <f t="shared" si="593"/>
        <v>2.5125038843123093</v>
      </c>
      <c r="K898" s="1">
        <f t="shared" si="593"/>
        <v>3.0941507514954072</v>
      </c>
    </row>
    <row r="899" spans="2:11" x14ac:dyDescent="0.35">
      <c r="B899" s="5" t="str">
        <f t="shared" si="584"/>
        <v>SPS4</v>
      </c>
      <c r="C899" s="5" t="str">
        <f>C897</f>
        <v>CH</v>
      </c>
      <c r="D899" t="s">
        <v>968</v>
      </c>
      <c r="E899" t="s">
        <v>8</v>
      </c>
      <c r="F899" s="1">
        <f>[1]Services!B$15+F902</f>
        <v>1.6906481827563249</v>
      </c>
      <c r="G899" s="1">
        <f>[1]Services!C$15+G902</f>
        <v>3.1316475321062667</v>
      </c>
      <c r="H899" s="1">
        <f>[1]Services!D$15+H902</f>
        <v>0.96773511844225024</v>
      </c>
      <c r="I899" s="1">
        <f>[1]Services!E$15+I902</f>
        <v>6.825544485556639E-4</v>
      </c>
      <c r="J899" s="1">
        <f>[1]Services!F$15+J902</f>
        <v>1.5140799869051749E-4</v>
      </c>
      <c r="K899" s="1">
        <f>[1]Services!G$15+K902</f>
        <v>5.7299486504596972E-5</v>
      </c>
    </row>
    <row r="900" spans="2:11" x14ac:dyDescent="0.35">
      <c r="B900" s="5" t="str">
        <f t="shared" si="584"/>
        <v>SPS4</v>
      </c>
      <c r="C900" s="5" t="str">
        <f t="shared" si="583"/>
        <v>CH</v>
      </c>
      <c r="D900" t="s">
        <v>683</v>
      </c>
      <c r="E900" t="s">
        <v>8</v>
      </c>
      <c r="F900" s="1">
        <f>[1]Services!B$15*F893/SUM(F893:F894)</f>
        <v>0.28836175589952506</v>
      </c>
      <c r="G900" s="1">
        <f>[1]Services!C$15*G893/SUM(G893:G894)</f>
        <v>1.5944126223339632</v>
      </c>
      <c r="H900" s="1">
        <f>[1]Services!D$15*H893/SUM(H893:H894)</f>
        <v>0.93356472108288613</v>
      </c>
      <c r="I900" s="1">
        <f>[1]Services!E$15*I893/SUM(I893:I894)</f>
        <v>6.3344342675878773E-4</v>
      </c>
      <c r="J900" s="1">
        <f>[1]Services!F$15*J893/SUM(J893:J894)</f>
        <v>1.294023678880828E-4</v>
      </c>
      <c r="K900" s="1">
        <f>[1]Services!G$15*K893/SUM(K893:K894)</f>
        <v>4.3312678579158055E-5</v>
      </c>
    </row>
    <row r="901" spans="2:11" x14ac:dyDescent="0.35">
      <c r="B901" s="5" t="str">
        <f t="shared" si="584"/>
        <v>SPS4</v>
      </c>
      <c r="C901" s="5" t="str">
        <f t="shared" ref="C901" si="594">C900</f>
        <v>CH</v>
      </c>
      <c r="D901" t="s">
        <v>728</v>
      </c>
      <c r="E901" t="s">
        <v>8</v>
      </c>
      <c r="F901" s="1">
        <f>[1]Services!B$15*F894/SUM(F893:F894)</f>
        <v>0</v>
      </c>
      <c r="G901" s="1">
        <f>[1]Services!C$15*G894/SUM(G893:G894)</f>
        <v>0</v>
      </c>
      <c r="H901" s="1">
        <f>[1]Services!D$15*H894/SUM(H893:H894)</f>
        <v>3.4170397359364078E-2</v>
      </c>
      <c r="I901" s="1">
        <f>[1]Services!E$15*I894/SUM(I893:I894)</f>
        <v>4.911102179687613E-5</v>
      </c>
      <c r="J901" s="1">
        <f>[1]Services!F$15*J894/SUM(J893:J894)</f>
        <v>2.2005630802434684E-5</v>
      </c>
      <c r="K901" s="1">
        <f>[1]Services!G$15*K894/SUM(K893:K894)</f>
        <v>1.3986807925438913E-5</v>
      </c>
    </row>
    <row r="902" spans="2:11" x14ac:dyDescent="0.35">
      <c r="B902" s="5" t="str">
        <f t="shared" si="584"/>
        <v>SPS4</v>
      </c>
      <c r="C902" s="5" t="str">
        <f>C900</f>
        <v>CH</v>
      </c>
      <c r="D902" t="s">
        <v>673</v>
      </c>
      <c r="E902" t="s">
        <v>8</v>
      </c>
      <c r="F902" s="1">
        <f>[1]Services!B$16</f>
        <v>1.4022864268567998</v>
      </c>
      <c r="G902" s="1">
        <f>[1]Services!C$16</f>
        <v>1.5372349097723037</v>
      </c>
      <c r="H902" s="1">
        <f>[1]Services!D$16</f>
        <v>0</v>
      </c>
      <c r="I902" s="1">
        <f>[1]Services!E$16</f>
        <v>0</v>
      </c>
      <c r="J902" s="1">
        <f>[1]Services!F$16</f>
        <v>0</v>
      </c>
      <c r="K902" s="1">
        <f>[1]Services!G$16</f>
        <v>0</v>
      </c>
    </row>
    <row r="903" spans="2:11" x14ac:dyDescent="0.35">
      <c r="B903" s="5" t="str">
        <f t="shared" si="584"/>
        <v>SPS4</v>
      </c>
      <c r="C903" s="5" t="str">
        <f>C902</f>
        <v>CH</v>
      </c>
      <c r="D903" t="s">
        <v>969</v>
      </c>
      <c r="E903" t="s">
        <v>8</v>
      </c>
      <c r="F903" s="1">
        <f>[1]Services!B$17</f>
        <v>7.7269008951994813</v>
      </c>
      <c r="G903" s="1">
        <f>[1]Services!C$17</f>
        <v>8.3697057465036</v>
      </c>
      <c r="H903" s="1">
        <f>[1]Services!D$17</f>
        <v>5.9724310178058841</v>
      </c>
      <c r="I903" s="1">
        <f>[1]Services!E$17</f>
        <v>6.9388697433061797</v>
      </c>
      <c r="J903" s="1">
        <f>[1]Services!F$17</f>
        <v>7.8909819168933808</v>
      </c>
      <c r="K903" s="1">
        <f>[1]Services!G$17</f>
        <v>8.3851592269940767</v>
      </c>
    </row>
    <row r="904" spans="2:11" x14ac:dyDescent="0.35">
      <c r="B904" s="5" t="str">
        <f t="shared" si="584"/>
        <v>SPS4</v>
      </c>
      <c r="C904" s="5" t="str">
        <f t="shared" si="583"/>
        <v>CH</v>
      </c>
      <c r="D904" t="s">
        <v>970</v>
      </c>
      <c r="E904" t="s">
        <v>8</v>
      </c>
      <c r="F904" s="1">
        <f>[1]Services!B$51/0.99</f>
        <v>2.1168948912064036</v>
      </c>
      <c r="G904" s="1">
        <f>[1]Services!C$51/0.99</f>
        <v>2.2930007807553703</v>
      </c>
      <c r="H904" s="1">
        <f>[1]Services!D$51/0.99</f>
        <v>0</v>
      </c>
      <c r="I904" s="1">
        <f>[1]Services!E$51/0.99</f>
        <v>0</v>
      </c>
      <c r="J904" s="1">
        <f>[1]Services!F$51/0.99</f>
        <v>0</v>
      </c>
      <c r="K904" s="1">
        <f>[1]Services!G$51/0.99</f>
        <v>0</v>
      </c>
    </row>
    <row r="905" spans="2:11" x14ac:dyDescent="0.35">
      <c r="B905" s="5" t="str">
        <f t="shared" si="584"/>
        <v>SPS4</v>
      </c>
      <c r="C905" s="5" t="str">
        <f t="shared" si="583"/>
        <v>CH</v>
      </c>
      <c r="D905" t="s">
        <v>507</v>
      </c>
      <c r="E905" t="s">
        <v>8</v>
      </c>
      <c r="F905" s="1">
        <f>F904-SUM(F906:F909)</f>
        <v>1.4242997996023543</v>
      </c>
      <c r="G905" s="1">
        <f t="shared" ref="G905:K905" si="595">G904-SUM(G906:G909)</f>
        <v>1.5427725327158361</v>
      </c>
      <c r="H905" s="1">
        <f t="shared" si="595"/>
        <v>-2.0399356513237456E-2</v>
      </c>
      <c r="I905" s="1">
        <f t="shared" si="595"/>
        <v>-2.3437999135058826E-2</v>
      </c>
      <c r="J905" s="1">
        <f t="shared" si="595"/>
        <v>-4.206276138492103E-2</v>
      </c>
      <c r="K905" s="1">
        <f t="shared" si="595"/>
        <v>-1.7239867920641079</v>
      </c>
    </row>
    <row r="906" spans="2:11" x14ac:dyDescent="0.35">
      <c r="B906" s="5" t="str">
        <f t="shared" si="584"/>
        <v>SPS4</v>
      </c>
      <c r="C906" s="5" t="str">
        <f t="shared" si="583"/>
        <v>CH</v>
      </c>
      <c r="D906" t="s">
        <v>503</v>
      </c>
      <c r="E906" t="s">
        <v>8</v>
      </c>
      <c r="F906" s="1">
        <f t="shared" ref="F906:K907" si="596">F247</f>
        <v>0.69259509160404931</v>
      </c>
      <c r="G906" s="1">
        <f t="shared" si="596"/>
        <v>0.75022824803953425</v>
      </c>
      <c r="H906" s="1">
        <f t="shared" si="596"/>
        <v>2.0399356513237456E-2</v>
      </c>
      <c r="I906" s="1">
        <f t="shared" si="596"/>
        <v>2.1964273004481921E-2</v>
      </c>
      <c r="J906" s="1">
        <f t="shared" si="596"/>
        <v>3.7850439865843626E-2</v>
      </c>
      <c r="K906" s="1">
        <f t="shared" si="596"/>
        <v>8.9941244437166017E-4</v>
      </c>
    </row>
    <row r="907" spans="2:11" x14ac:dyDescent="0.35">
      <c r="B907" s="5" t="str">
        <f t="shared" si="584"/>
        <v>SPS4</v>
      </c>
      <c r="C907" s="5" t="str">
        <f t="shared" si="583"/>
        <v>CH</v>
      </c>
      <c r="D907" t="s">
        <v>504</v>
      </c>
      <c r="E907" t="s">
        <v>8</v>
      </c>
      <c r="F907" s="1">
        <f t="shared" si="596"/>
        <v>0</v>
      </c>
      <c r="G907" s="1">
        <f t="shared" si="596"/>
        <v>0</v>
      </c>
      <c r="H907" s="1">
        <f t="shared" si="596"/>
        <v>0</v>
      </c>
      <c r="I907" s="1">
        <f t="shared" si="596"/>
        <v>1.3791713709037216E-4</v>
      </c>
      <c r="J907" s="1">
        <f t="shared" si="596"/>
        <v>2.7226079221993743E-3</v>
      </c>
      <c r="K907" s="1">
        <f t="shared" si="596"/>
        <v>1.7225641608785551</v>
      </c>
    </row>
    <row r="908" spans="2:11" x14ac:dyDescent="0.35">
      <c r="B908" s="5" t="str">
        <f t="shared" si="584"/>
        <v>SPS4</v>
      </c>
      <c r="C908" s="5" t="str">
        <f t="shared" si="583"/>
        <v>CH</v>
      </c>
      <c r="D908" t="s">
        <v>505</v>
      </c>
      <c r="E908" t="s">
        <v>8</v>
      </c>
      <c r="F908" s="1">
        <f t="shared" ref="F908:K908" si="597">F285</f>
        <v>0</v>
      </c>
      <c r="G908" s="1">
        <f t="shared" si="597"/>
        <v>0</v>
      </c>
      <c r="H908" s="1">
        <f t="shared" si="597"/>
        <v>0</v>
      </c>
      <c r="I908" s="1">
        <f t="shared" si="597"/>
        <v>1.3358089934865324E-3</v>
      </c>
      <c r="J908" s="1">
        <f t="shared" si="597"/>
        <v>1.4897135968780289E-3</v>
      </c>
      <c r="K908" s="1">
        <f t="shared" si="597"/>
        <v>5.2321874118104123E-4</v>
      </c>
    </row>
    <row r="909" spans="2:11" x14ac:dyDescent="0.35">
      <c r="B909" s="5" t="str">
        <f t="shared" si="584"/>
        <v>SPS4</v>
      </c>
      <c r="C909" s="5" t="str">
        <f t="shared" si="583"/>
        <v>CH</v>
      </c>
      <c r="D909" t="s">
        <v>506</v>
      </c>
      <c r="E909" t="s">
        <v>8</v>
      </c>
      <c r="F909" s="1">
        <f t="shared" ref="F909:K909" si="598">F288</f>
        <v>0</v>
      </c>
      <c r="G909" s="1">
        <f t="shared" si="598"/>
        <v>0</v>
      </c>
      <c r="H909" s="1">
        <f t="shared" si="598"/>
        <v>0</v>
      </c>
      <c r="I909" s="1">
        <f t="shared" si="598"/>
        <v>0</v>
      </c>
      <c r="J909" s="1">
        <f t="shared" si="598"/>
        <v>0</v>
      </c>
      <c r="K909" s="1">
        <f t="shared" si="598"/>
        <v>0</v>
      </c>
    </row>
    <row r="910" spans="2:11" x14ac:dyDescent="0.35">
      <c r="B910" s="5" t="str">
        <f t="shared" si="584"/>
        <v>SPS4</v>
      </c>
      <c r="C910" s="5" t="str">
        <f t="shared" si="583"/>
        <v>CH</v>
      </c>
      <c r="D910" t="s">
        <v>971</v>
      </c>
      <c r="E910" t="s">
        <v>8</v>
      </c>
      <c r="F910" s="1">
        <f>F903-F904</f>
        <v>5.6100060039930781</v>
      </c>
      <c r="G910" s="1">
        <f t="shared" ref="G910:K910" si="599">G903-G904</f>
        <v>6.0767049657482293</v>
      </c>
      <c r="H910" s="1">
        <f t="shared" si="599"/>
        <v>5.9724310178058841</v>
      </c>
      <c r="I910" s="1">
        <f t="shared" si="599"/>
        <v>6.9388697433061797</v>
      </c>
      <c r="J910" s="1">
        <f t="shared" si="599"/>
        <v>7.8909819168933808</v>
      </c>
      <c r="K910" s="1">
        <f t="shared" si="599"/>
        <v>8.3851592269940767</v>
      </c>
    </row>
    <row r="911" spans="2:11" x14ac:dyDescent="0.35">
      <c r="B911" s="5" t="str">
        <f t="shared" si="584"/>
        <v>SPS4</v>
      </c>
      <c r="C911" s="5" t="str">
        <f t="shared" si="583"/>
        <v>CH</v>
      </c>
      <c r="D911" t="s">
        <v>972</v>
      </c>
      <c r="E911" t="s">
        <v>8</v>
      </c>
      <c r="F911" s="1">
        <f>F912</f>
        <v>8.5743737811904062</v>
      </c>
      <c r="G911" s="1">
        <f t="shared" ref="G911:K911" si="600">G912</f>
        <v>9.4137715249378733</v>
      </c>
      <c r="H911" s="1">
        <f t="shared" si="600"/>
        <v>9.5310150654032029</v>
      </c>
      <c r="I911" s="1">
        <f t="shared" si="600"/>
        <v>9.6957956037317636</v>
      </c>
      <c r="J911" s="1">
        <f t="shared" si="600"/>
        <v>8.4373610047419056</v>
      </c>
      <c r="K911" s="1">
        <f t="shared" si="600"/>
        <v>7.4638623183141668</v>
      </c>
    </row>
    <row r="912" spans="2:11" x14ac:dyDescent="0.35">
      <c r="B912" s="5" t="str">
        <f t="shared" si="584"/>
        <v>SPS4</v>
      </c>
      <c r="C912" s="5" t="str">
        <f t="shared" si="583"/>
        <v>CH</v>
      </c>
      <c r="D912" t="s">
        <v>973</v>
      </c>
      <c r="E912" t="s">
        <v>8</v>
      </c>
      <c r="F912" s="1" cm="1">
        <f t="array" ref="F912">SUMPRODUCT(([1]OUT_FinalEnergyCons!$B$4:$B$10000="Var_Fin")*1, ISNUMBER(SEARCH("WOD",[1]OUT_FinalEnergyCons!$C$4:$C$10000))*1,(ISNUMBER(SEARCH("SCOM-SHWODBR",[1]OUT_FinalEnergyCons!$A$4:$A$10000)))*1,[1]OUT_FinalEnergyCons!D$4:D$10000)</f>
        <v>8.5743737811904062</v>
      </c>
      <c r="G912" s="1" cm="1">
        <f t="array" ref="G912">SUMPRODUCT(([1]OUT_FinalEnergyCons!$B$4:$B$10000="Var_Fin")*1, ISNUMBER(SEARCH("WOD",[1]OUT_FinalEnergyCons!$C$4:$C$10000))*1,(ISNUMBER(SEARCH("SCOM-SHWODBR",[1]OUT_FinalEnergyCons!$A$4:$A$10000)))*1,[1]OUT_FinalEnergyCons!E$4:E$10000)</f>
        <v>9.4137715249378733</v>
      </c>
      <c r="H912" s="1" cm="1">
        <f t="array" ref="H912">SUMPRODUCT(([1]OUT_FinalEnergyCons!$B$4:$B$10000="Var_Fin")*1, ISNUMBER(SEARCH("WOD",[1]OUT_FinalEnergyCons!$C$4:$C$10000))*1,(ISNUMBER(SEARCH("SCOM-SHWODBR",[1]OUT_FinalEnergyCons!$A$4:$A$10000)))*1,[1]OUT_FinalEnergyCons!F$4:F$10000)</f>
        <v>9.5310150654032029</v>
      </c>
      <c r="I912" s="1" cm="1">
        <f t="array" ref="I912">SUMPRODUCT(([1]OUT_FinalEnergyCons!$B$4:$B$10000="Var_Fin")*1, ISNUMBER(SEARCH("WOD",[1]OUT_FinalEnergyCons!$C$4:$C$10000))*1,(ISNUMBER(SEARCH("SCOM-SHWODBR",[1]OUT_FinalEnergyCons!$A$4:$A$10000)))*1,[1]OUT_FinalEnergyCons!G$4:G$10000)</f>
        <v>9.6957956037317636</v>
      </c>
      <c r="J912" s="1" cm="1">
        <f t="array" ref="J912">SUMPRODUCT(([1]OUT_FinalEnergyCons!$B$4:$B$10000="Var_Fin")*1, ISNUMBER(SEARCH("WOD",[1]OUT_FinalEnergyCons!$C$4:$C$10000))*1,(ISNUMBER(SEARCH("SCOM-SHWODBR",[1]OUT_FinalEnergyCons!$A$4:$A$10000)))*1,[1]OUT_FinalEnergyCons!H$4:H$10000)</f>
        <v>8.4373610047419056</v>
      </c>
      <c r="K912" s="1" cm="1">
        <f t="array" ref="K912">SUMPRODUCT(([1]OUT_FinalEnergyCons!$B$4:$B$10000="Var_Fin")*1, ISNUMBER(SEARCH("WOD",[1]OUT_FinalEnergyCons!$C$4:$C$10000))*1,(ISNUMBER(SEARCH("SCOM-SHWODBR",[1]OUT_FinalEnergyCons!$A$4:$A$10000)))*1,[1]OUT_FinalEnergyCons!I$4:I$10000)</f>
        <v>7.4638623183141668</v>
      </c>
    </row>
    <row r="913" spans="2:12" x14ac:dyDescent="0.35">
      <c r="B913" s="5" t="str">
        <f t="shared" si="584"/>
        <v>SPS4</v>
      </c>
      <c r="C913" s="5" t="str">
        <f t="shared" si="583"/>
        <v>CH</v>
      </c>
      <c r="D913" t="s">
        <v>974</v>
      </c>
      <c r="E913" t="s">
        <v>8</v>
      </c>
      <c r="F913" s="1">
        <f>F914</f>
        <v>2.0856407848310794</v>
      </c>
      <c r="G913" s="1">
        <f t="shared" ref="G913:K913" si="601">G914</f>
        <v>2.4000964474867272</v>
      </c>
      <c r="H913" s="1">
        <f t="shared" si="601"/>
        <v>0.66994324270988914</v>
      </c>
      <c r="I913" s="1">
        <f t="shared" si="601"/>
        <v>1.1252682394587061</v>
      </c>
      <c r="J913" s="1">
        <f t="shared" si="601"/>
        <v>1.5979276510928426</v>
      </c>
      <c r="K913" s="1">
        <f t="shared" si="601"/>
        <v>1.9530530208878361</v>
      </c>
    </row>
    <row r="914" spans="2:12" x14ac:dyDescent="0.35">
      <c r="B914" s="5" t="str">
        <f t="shared" si="584"/>
        <v>SPS4</v>
      </c>
      <c r="C914" s="5" t="str">
        <f t="shared" si="583"/>
        <v>CH</v>
      </c>
      <c r="D914" t="s">
        <v>975</v>
      </c>
      <c r="E914" t="s">
        <v>8</v>
      </c>
      <c r="F914" s="1" cm="1">
        <f t="array" ref="F914">SUMPRODUCT(([1]OUT_FinalEnergyCons!$B$4:$B$10000="Var_Fin")*1,ISNUMBER(SEARCH("SPLT",[1]OUT_FinalEnergyCons!$C$4:$C$10000))*1, (ISNUMBER(SEARCH("SCOM-SHPLTBR",[1]OUT_FinalEnergyCons!$A$4:$A$10000)))*1,[1]OUT_FinalEnergyCons!D$4:D$10000)</f>
        <v>2.0856407848310794</v>
      </c>
      <c r="G914" s="1" cm="1">
        <f t="array" ref="G914">SUMPRODUCT(([1]OUT_FinalEnergyCons!$B$4:$B$10000="Var_Fin")*1,ISNUMBER(SEARCH("SPLT",[1]OUT_FinalEnergyCons!$C$4:$C$10000))*1, (ISNUMBER(SEARCH("SCOM-SHPLTBR",[1]OUT_FinalEnergyCons!$A$4:$A$10000)))*1,[1]OUT_FinalEnergyCons!E$4:E$10000)</f>
        <v>2.4000964474867272</v>
      </c>
      <c r="H914" s="1" cm="1">
        <f t="array" ref="H914">SUMPRODUCT(([1]OUT_FinalEnergyCons!$B$4:$B$10000="Var_Fin")*1,ISNUMBER(SEARCH("SPLT",[1]OUT_FinalEnergyCons!$C$4:$C$10000))*1, (ISNUMBER(SEARCH("SCOM-SHPLTBR",[1]OUT_FinalEnergyCons!$A$4:$A$10000)))*1,[1]OUT_FinalEnergyCons!F$4:F$10000)</f>
        <v>0.66994324270988914</v>
      </c>
      <c r="I914" s="1" cm="1">
        <f t="array" ref="I914">SUMPRODUCT(([1]OUT_FinalEnergyCons!$B$4:$B$10000="Var_Fin")*1,ISNUMBER(SEARCH("SPLT",[1]OUT_FinalEnergyCons!$C$4:$C$10000))*1, (ISNUMBER(SEARCH("SCOM-SHPLTBR",[1]OUT_FinalEnergyCons!$A$4:$A$10000)))*1,[1]OUT_FinalEnergyCons!G$4:G$10000)</f>
        <v>1.1252682394587061</v>
      </c>
      <c r="J914" s="1" cm="1">
        <f t="array" ref="J914">SUMPRODUCT(([1]OUT_FinalEnergyCons!$B$4:$B$10000="Var_Fin")*1,ISNUMBER(SEARCH("SPLT",[1]OUT_FinalEnergyCons!$C$4:$C$10000))*1, (ISNUMBER(SEARCH("SCOM-SHPLTBR",[1]OUT_FinalEnergyCons!$A$4:$A$10000)))*1,[1]OUT_FinalEnergyCons!H$4:H$10000)</f>
        <v>1.5979276510928426</v>
      </c>
      <c r="K914" s="1" cm="1">
        <f t="array" ref="K914">SUMPRODUCT(([1]OUT_FinalEnergyCons!$B$4:$B$10000="Var_Fin")*1,ISNUMBER(SEARCH("SPLT",[1]OUT_FinalEnergyCons!$C$4:$C$10000))*1, (ISNUMBER(SEARCH("SCOM-SHPLTBR",[1]OUT_FinalEnergyCons!$A$4:$A$10000)))*1,[1]OUT_FinalEnergyCons!I$4:I$10000)</f>
        <v>1.9530530208878361</v>
      </c>
    </row>
    <row r="915" spans="2:12" x14ac:dyDescent="0.35">
      <c r="B915" s="5" t="str">
        <f t="shared" si="584"/>
        <v>SPS4</v>
      </c>
      <c r="C915" s="5" t="str">
        <f t="shared" si="583"/>
        <v>CH</v>
      </c>
      <c r="D915" t="s">
        <v>976</v>
      </c>
      <c r="E915" t="s">
        <v>8</v>
      </c>
      <c r="F915" s="1">
        <f>F916</f>
        <v>0.62700671930761676</v>
      </c>
      <c r="G915" s="1">
        <f t="shared" ref="G915:K915" si="602">G916</f>
        <v>0.68735545931227937</v>
      </c>
      <c r="H915" s="1">
        <f t="shared" si="602"/>
        <v>0.52902670081987391</v>
      </c>
      <c r="I915" s="1">
        <f t="shared" si="602"/>
        <v>0.61605070896952618</v>
      </c>
      <c r="J915" s="1">
        <f t="shared" si="602"/>
        <v>0.74256233133239768</v>
      </c>
      <c r="K915" s="1">
        <f t="shared" si="602"/>
        <v>0.88984948267205854</v>
      </c>
    </row>
    <row r="916" spans="2:12" x14ac:dyDescent="0.35">
      <c r="B916" s="5" t="str">
        <f t="shared" si="584"/>
        <v>SPS4</v>
      </c>
      <c r="C916" s="5" t="str">
        <f t="shared" si="583"/>
        <v>CH</v>
      </c>
      <c r="D916" t="s">
        <v>977</v>
      </c>
      <c r="E916" t="s">
        <v>8</v>
      </c>
      <c r="F916" s="1">
        <f>[1]Services!B$19</f>
        <v>0.62700671930761676</v>
      </c>
      <c r="G916" s="1">
        <f>[1]Services!C$19</f>
        <v>0.68735545931227937</v>
      </c>
      <c r="H916" s="1">
        <f>[1]Services!D$19</f>
        <v>0.52902670081987391</v>
      </c>
      <c r="I916" s="1">
        <f>[1]Services!E$19</f>
        <v>0.61605070896952618</v>
      </c>
      <c r="J916" s="1">
        <f>[1]Services!F$19</f>
        <v>0.74256233133239768</v>
      </c>
      <c r="K916" s="1">
        <f>[1]Services!G$19</f>
        <v>0.88984948267205854</v>
      </c>
    </row>
    <row r="917" spans="2:12" x14ac:dyDescent="0.35">
      <c r="B917" s="5" t="str">
        <f t="shared" si="584"/>
        <v>SPS4</v>
      </c>
      <c r="C917" s="5" t="str">
        <f t="shared" si="583"/>
        <v>CH</v>
      </c>
      <c r="D917" t="s">
        <v>978</v>
      </c>
      <c r="E917" t="s">
        <v>8</v>
      </c>
      <c r="F917" s="1">
        <f>[1]Services!B$20</f>
        <v>0</v>
      </c>
      <c r="G917" s="1">
        <f>[1]Services!C$20</f>
        <v>0</v>
      </c>
      <c r="H917" s="1">
        <f>[1]Services!D$20</f>
        <v>0</v>
      </c>
      <c r="I917" s="1">
        <f>[1]Services!E$20</f>
        <v>0</v>
      </c>
      <c r="J917" s="1">
        <f>[1]Services!F$20</f>
        <v>0</v>
      </c>
      <c r="K917" s="1">
        <f>[1]Services!G$20</f>
        <v>0</v>
      </c>
    </row>
    <row r="918" spans="2:12" x14ac:dyDescent="0.35">
      <c r="B918" s="5" t="str">
        <f t="shared" si="584"/>
        <v>SPS4</v>
      </c>
      <c r="C918" s="5" t="str">
        <f t="shared" si="583"/>
        <v>CH</v>
      </c>
      <c r="D918" t="s">
        <v>746</v>
      </c>
      <c r="E918" t="s">
        <v>8</v>
      </c>
      <c r="F918" s="1">
        <f>F917-F919</f>
        <v>0</v>
      </c>
      <c r="G918" s="1">
        <f t="shared" ref="G918:K918" si="603">G917-G919</f>
        <v>0</v>
      </c>
      <c r="H918" s="1">
        <f t="shared" si="603"/>
        <v>0</v>
      </c>
      <c r="I918" s="1">
        <f t="shared" si="603"/>
        <v>0</v>
      </c>
      <c r="J918" s="1">
        <f t="shared" si="603"/>
        <v>0</v>
      </c>
      <c r="K918" s="1">
        <f t="shared" si="603"/>
        <v>0</v>
      </c>
    </row>
    <row r="919" spans="2:12" x14ac:dyDescent="0.35">
      <c r="B919" s="5" t="str">
        <f t="shared" si="584"/>
        <v>SPS4</v>
      </c>
      <c r="C919" s="5" t="str">
        <f t="shared" si="583"/>
        <v>CH</v>
      </c>
      <c r="D919" t="s">
        <v>747</v>
      </c>
      <c r="E919" t="s">
        <v>8</v>
      </c>
      <c r="F919" s="1">
        <f>F920</f>
        <v>0</v>
      </c>
      <c r="G919" s="1">
        <f t="shared" ref="G919:K919" si="604">G920</f>
        <v>0</v>
      </c>
      <c r="H919" s="1">
        <f t="shared" si="604"/>
        <v>0</v>
      </c>
      <c r="I919" s="1">
        <f t="shared" si="604"/>
        <v>0</v>
      </c>
      <c r="J919" s="1">
        <f t="shared" si="604"/>
        <v>0</v>
      </c>
      <c r="K919" s="1">
        <f t="shared" si="604"/>
        <v>0</v>
      </c>
    </row>
    <row r="920" spans="2:12" x14ac:dyDescent="0.35">
      <c r="B920" s="5" t="str">
        <f t="shared" si="584"/>
        <v>SPS4</v>
      </c>
      <c r="C920" s="5" t="str">
        <f>C917</f>
        <v>CH</v>
      </c>
      <c r="D920" t="s">
        <v>979</v>
      </c>
      <c r="E920" t="s">
        <v>8</v>
      </c>
      <c r="F920" s="1">
        <f>[1]Services!B$20</f>
        <v>0</v>
      </c>
      <c r="G920" s="1">
        <f>[1]Services!C$20</f>
        <v>0</v>
      </c>
      <c r="H920" s="1">
        <f>[1]Services!D$20</f>
        <v>0</v>
      </c>
      <c r="I920" s="1">
        <f>[1]Services!E$20</f>
        <v>0</v>
      </c>
      <c r="J920" s="1">
        <f>[1]Services!F$20</f>
        <v>0</v>
      </c>
      <c r="K920" s="1">
        <f>[1]Services!G$20</f>
        <v>0</v>
      </c>
    </row>
    <row r="921" spans="2:12" x14ac:dyDescent="0.35">
      <c r="B921" s="5" t="str">
        <f t="shared" si="584"/>
        <v>SPS4</v>
      </c>
      <c r="C921" s="5" t="str">
        <f t="shared" si="583"/>
        <v>CH</v>
      </c>
      <c r="D921" t="s">
        <v>980</v>
      </c>
      <c r="E921" t="s">
        <v>8</v>
      </c>
      <c r="F921" s="1">
        <f>F922</f>
        <v>2.9296217272130329</v>
      </c>
      <c r="G921" s="1">
        <f t="shared" ref="G921:K921" si="605">G922</f>
        <v>3.1924659585514243</v>
      </c>
      <c r="H921" s="1">
        <f t="shared" si="605"/>
        <v>3.0596838259600956</v>
      </c>
      <c r="I921" s="1">
        <f t="shared" si="605"/>
        <v>4.9295193320930153</v>
      </c>
      <c r="J921" s="1">
        <f t="shared" si="605"/>
        <v>7.8277226992519084</v>
      </c>
      <c r="K921" s="1">
        <f t="shared" si="605"/>
        <v>10.855686245996495</v>
      </c>
    </row>
    <row r="922" spans="2:12" x14ac:dyDescent="0.35">
      <c r="B922" s="5" t="str">
        <f t="shared" si="584"/>
        <v>SPS4</v>
      </c>
      <c r="C922" s="5" t="str">
        <f t="shared" si="583"/>
        <v>CH</v>
      </c>
      <c r="D922" t="s">
        <v>981</v>
      </c>
      <c r="E922" t="s">
        <v>8</v>
      </c>
      <c r="F922" s="1">
        <f>[1]Services!B$21-F923</f>
        <v>2.9296217272130329</v>
      </c>
      <c r="G922" s="1">
        <f>[1]Services!C$21-G923</f>
        <v>3.1924659585514243</v>
      </c>
      <c r="H922" s="1">
        <f>[1]Services!D$21-H923</f>
        <v>3.0596838259600956</v>
      </c>
      <c r="I922" s="1">
        <f>[1]Services!E$21-I923</f>
        <v>4.9295193320930153</v>
      </c>
      <c r="J922" s="1">
        <f>[1]Services!F$21-J923</f>
        <v>7.8277226992519084</v>
      </c>
      <c r="K922" s="1">
        <f>[1]Services!G$21-K923</f>
        <v>10.855686245996495</v>
      </c>
    </row>
    <row r="923" spans="2:12" x14ac:dyDescent="0.35">
      <c r="B923" s="5" t="str">
        <f t="shared" si="584"/>
        <v>SPS4</v>
      </c>
      <c r="C923" s="5" t="str">
        <f t="shared" ref="C923" si="606">C922</f>
        <v>CH</v>
      </c>
      <c r="D923" t="s">
        <v>982</v>
      </c>
      <c r="E923" t="s">
        <v>8</v>
      </c>
      <c r="F923" s="1">
        <f>[1]Services!B$50-F894</f>
        <v>0</v>
      </c>
      <c r="G923" s="1">
        <f>[1]Services!C$50-G894</f>
        <v>0</v>
      </c>
      <c r="H923" s="1">
        <f>[1]Services!D$50-H894</f>
        <v>0.83949758868557767</v>
      </c>
      <c r="I923" s="1">
        <f>[1]Services!E$50-I894</f>
        <v>1.7052019415006794</v>
      </c>
      <c r="J923" s="1">
        <f>[1]Services!F$50-J894</f>
        <v>3.0553073433678106</v>
      </c>
      <c r="K923" s="1">
        <f>[1]Services!G$50-K894</f>
        <v>4.5624515283872036</v>
      </c>
    </row>
    <row r="924" spans="2:12" x14ac:dyDescent="0.35">
      <c r="B924" s="9" t="str">
        <f t="shared" si="584"/>
        <v>SPS4</v>
      </c>
      <c r="C924" s="9" t="str">
        <f>C852</f>
        <v>CH</v>
      </c>
      <c r="D924" s="2" t="s">
        <v>697</v>
      </c>
      <c r="E924" s="9" t="s">
        <v>8</v>
      </c>
      <c r="F924" s="17">
        <f>[1]Services!B$59</f>
        <v>73.238461301923294</v>
      </c>
      <c r="G924" s="17">
        <f>[1]Services!C$59</f>
        <v>78.574164690815138</v>
      </c>
      <c r="H924" s="17">
        <f>[1]Services!D$59</f>
        <v>63.322030587311488</v>
      </c>
      <c r="I924" s="17">
        <f>[1]Services!E$59</f>
        <v>62.697353790839969</v>
      </c>
      <c r="J924" s="17">
        <f>[1]Services!F$59</f>
        <v>61.448736374063799</v>
      </c>
      <c r="K924" s="17">
        <f>[1]Services!G$59</f>
        <v>60.775011667447345</v>
      </c>
    </row>
    <row r="925" spans="2:12" x14ac:dyDescent="0.35">
      <c r="B925" s="5" t="str">
        <f t="shared" si="584"/>
        <v>SPS4</v>
      </c>
      <c r="C925" s="5" t="str">
        <f>C924</f>
        <v>CH</v>
      </c>
      <c r="D925" t="s">
        <v>983</v>
      </c>
      <c r="E925" t="s">
        <v>8</v>
      </c>
      <c r="F925" s="1">
        <f>SUM(F926:F928)</f>
        <v>63.650109909651036</v>
      </c>
      <c r="G925" s="1">
        <f t="shared" ref="G925:K925" si="607">SUM(G926:G928)</f>
        <v>63.909982062963145</v>
      </c>
      <c r="H925" s="1">
        <f t="shared" si="607"/>
        <v>63.754866881103894</v>
      </c>
      <c r="I925" s="1">
        <f t="shared" si="607"/>
        <v>66.231633984241981</v>
      </c>
      <c r="J925" s="1">
        <f t="shared" si="607"/>
        <v>70.162480135760859</v>
      </c>
      <c r="K925" s="1">
        <f t="shared" si="607"/>
        <v>72.794891951408701</v>
      </c>
    </row>
    <row r="926" spans="2:12" x14ac:dyDescent="0.35">
      <c r="B926" s="5" t="str">
        <f t="shared" si="584"/>
        <v>SPS4</v>
      </c>
      <c r="C926" s="5" t="str">
        <f>C925</f>
        <v>CH</v>
      </c>
      <c r="D926" t="s">
        <v>760</v>
      </c>
      <c r="E926" t="s">
        <v>8</v>
      </c>
      <c r="F926" s="1" cm="1">
        <f t="array" ref="F926">SUMPRODUCT(([1]OUT_FinalEnergyCons!$B$4:$B$10000="Var_FOut")*1, ISNUMBER(SEARCH("SCOM-SHAELC",[1]OUT_FinalEnergyCons!$C$4:$C$10000))*1, (ISNUMBER(SEARCH("SCOM-SHELCBR",[1]OUT_FinalEnergyCons!$A$4:$A$10000)))*1,[1]OUT_FinalEnergyCons!D$4:D$10000)</f>
        <v>2.3940673678832796</v>
      </c>
      <c r="G926" s="1" cm="1">
        <f t="array" ref="G926">SUMPRODUCT(([1]OUT_FinalEnergyCons!$B$4:$B$10000="Var_FOut")*1, ISNUMBER(SEARCH("SCOM-SHAELC",[1]OUT_FinalEnergyCons!$C$4:$C$10000))*1, (ISNUMBER(SEARCH("SCOM-SHELCBR",[1]OUT_FinalEnergyCons!$A$4:$A$10000)))*1,[1]OUT_FinalEnergyCons!E$4:E$10000)</f>
        <v>0.59041332512534817</v>
      </c>
      <c r="H926" s="1" cm="1">
        <f t="array" ref="H926">SUMPRODUCT(([1]OUT_FinalEnergyCons!$B$4:$B$10000="Var_FOut")*1, ISNUMBER(SEARCH("SCOM-SHAELC",[1]OUT_FinalEnergyCons!$C$4:$C$10000))*1, (ISNUMBER(SEARCH("SCOM-SHELCBR",[1]OUT_FinalEnergyCons!$A$4:$A$10000)))*1,[1]OUT_FinalEnergyCons!F$4:F$10000)</f>
        <v>0.52182633908505482</v>
      </c>
      <c r="I926" s="1" cm="1">
        <f t="array" ref="I926">SUMPRODUCT(([1]OUT_FinalEnergyCons!$B$4:$B$10000="Var_FOut")*1, ISNUMBER(SEARCH("SCOM-SHAELC",[1]OUT_FinalEnergyCons!$C$4:$C$10000))*1, (ISNUMBER(SEARCH("SCOM-SHELCBR",[1]OUT_FinalEnergyCons!$A$4:$A$10000)))*1,[1]OUT_FinalEnergyCons!G$4:G$10000)</f>
        <v>0.35400214811426484</v>
      </c>
      <c r="J926" s="1" cm="1">
        <f t="array" ref="J926">SUMPRODUCT(([1]OUT_FinalEnergyCons!$B$4:$B$10000="Var_FOut")*1, ISNUMBER(SEARCH("SCOM-SHAELC",[1]OUT_FinalEnergyCons!$C$4:$C$10000))*1, (ISNUMBER(SEARCH("SCOM-SHELCBR",[1]OUT_FinalEnergyCons!$A$4:$A$10000)))*1,[1]OUT_FinalEnergyCons!H$4:H$10000)</f>
        <v>0.26253227074992136</v>
      </c>
      <c r="K926" s="1" cm="1">
        <f t="array" ref="K926">SUMPRODUCT(([1]OUT_FinalEnergyCons!$B$4:$B$10000="Var_FOut")*1, ISNUMBER(SEARCH("SCOM-SHAELC",[1]OUT_FinalEnergyCons!$C$4:$C$10000))*1, (ISNUMBER(SEARCH("SCOM-SHELCBR",[1]OUT_FinalEnergyCons!$A$4:$A$10000)))*1,[1]OUT_FinalEnergyCons!I$4:I$10000)</f>
        <v>0.19372157278804539</v>
      </c>
    </row>
    <row r="927" spans="2:12" x14ac:dyDescent="0.35">
      <c r="B927" s="5" t="str">
        <f t="shared" si="584"/>
        <v>SPS4</v>
      </c>
      <c r="C927" s="5" t="str">
        <f t="shared" ref="C927:C930" si="608">C926</f>
        <v>CH</v>
      </c>
      <c r="D927" t="s">
        <v>729</v>
      </c>
      <c r="E927" t="s">
        <v>8</v>
      </c>
      <c r="F927" s="1">
        <f>[1]Services!B$47</f>
        <v>4.2612679668553195</v>
      </c>
      <c r="G927" s="1">
        <f>[1]Services!C$47</f>
        <v>4.6176739757618792</v>
      </c>
      <c r="H927" s="1">
        <f>[1]Services!D$47</f>
        <v>4.7181790993531028</v>
      </c>
      <c r="I927" s="1">
        <f>[1]Services!E$47</f>
        <v>7.3616481240944553</v>
      </c>
      <c r="J927" s="1">
        <f>[1]Services!F$47</f>
        <v>11.3167802404216</v>
      </c>
      <c r="K927" s="1">
        <f>[1]Services!G$47</f>
        <v>15.25089985330624</v>
      </c>
    </row>
    <row r="928" spans="2:12" x14ac:dyDescent="0.35">
      <c r="B928" s="5" t="str">
        <f t="shared" si="584"/>
        <v>SPS4</v>
      </c>
      <c r="C928" s="5" t="str">
        <f t="shared" si="608"/>
        <v>CH</v>
      </c>
      <c r="D928" t="s">
        <v>691</v>
      </c>
      <c r="E928" t="s">
        <v>8</v>
      </c>
      <c r="F928" s="1">
        <f>[1]Services!B$3-([1]Services!B$6-[1]Services!B$58)</f>
        <v>56.994774574912441</v>
      </c>
      <c r="G928" s="1">
        <f>[1]Services!C$3-([1]Services!C$6-[1]Services!C$58)</f>
        <v>58.701894762075916</v>
      </c>
      <c r="H928" s="1">
        <f>[1]Services!D$3-([1]Services!D$6-[1]Services!D$58)</f>
        <v>58.514861442665733</v>
      </c>
      <c r="I928" s="1">
        <f>[1]Services!E$3-([1]Services!E$6-[1]Services!E$58)</f>
        <v>58.515983712033254</v>
      </c>
      <c r="J928" s="1">
        <f>[1]Services!F$3-([1]Services!F$6-[1]Services!F$58)</f>
        <v>58.583167624589336</v>
      </c>
      <c r="K928" s="1">
        <f>[1]Services!G$3-([1]Services!G$6-[1]Services!G$58)</f>
        <v>57.350270525314414</v>
      </c>
      <c r="L928" s="1"/>
    </row>
    <row r="929" spans="2:11" x14ac:dyDescent="0.35">
      <c r="B929" s="5" t="str">
        <f t="shared" si="584"/>
        <v>SPS4</v>
      </c>
      <c r="C929" s="5" t="str">
        <f t="shared" si="608"/>
        <v>CH</v>
      </c>
      <c r="D929" t="s">
        <v>1041</v>
      </c>
      <c r="E929" t="s">
        <v>8</v>
      </c>
      <c r="F929" s="1">
        <f>F930</f>
        <v>24.843069951594657</v>
      </c>
      <c r="G929" s="1">
        <f t="shared" ref="G929:K929" si="609">G930</f>
        <v>21.822367550281513</v>
      </c>
      <c r="H929" s="1">
        <f t="shared" si="609"/>
        <v>21.043678054276636</v>
      </c>
      <c r="I929" s="1">
        <f t="shared" si="609"/>
        <v>15.552249391407235</v>
      </c>
      <c r="J929" s="1">
        <f t="shared" si="609"/>
        <v>9.8246695014882821</v>
      </c>
      <c r="K929" s="1">
        <f t="shared" si="609"/>
        <v>4.245771951066148</v>
      </c>
    </row>
    <row r="930" spans="2:11" x14ac:dyDescent="0.35">
      <c r="B930" s="5" t="str">
        <f t="shared" si="584"/>
        <v>SPS4</v>
      </c>
      <c r="C930" s="5" t="str">
        <f t="shared" si="608"/>
        <v>CH</v>
      </c>
      <c r="D930" t="s">
        <v>1042</v>
      </c>
      <c r="E930" t="s">
        <v>8</v>
      </c>
      <c r="F930" s="1">
        <f>[1]Services!B$48</f>
        <v>24.843069951594657</v>
      </c>
      <c r="G930" s="1">
        <f>[1]Services!C$48</f>
        <v>21.822367550281513</v>
      </c>
      <c r="H930" s="1">
        <f>[1]Services!D$48</f>
        <v>21.043678054276636</v>
      </c>
      <c r="I930" s="1">
        <f>[1]Services!E$48</f>
        <v>15.552249391407235</v>
      </c>
      <c r="J930" s="1">
        <f>[1]Services!F$48</f>
        <v>9.8246695014882821</v>
      </c>
      <c r="K930" s="1">
        <f>[1]Services!G$48</f>
        <v>4.245771951066148</v>
      </c>
    </row>
    <row r="931" spans="2:11" x14ac:dyDescent="0.35">
      <c r="B931" s="5" t="str">
        <f t="shared" si="584"/>
        <v>SPS4</v>
      </c>
      <c r="C931" s="5" t="str">
        <f>C930</f>
        <v>CH</v>
      </c>
      <c r="D931" t="s">
        <v>1043</v>
      </c>
      <c r="E931" t="s">
        <v>8</v>
      </c>
      <c r="F931" s="1">
        <f>SUM(F932:F934)</f>
        <v>25.412791581229875</v>
      </c>
      <c r="G931" s="1">
        <f t="shared" ref="G931:K931" si="610">SUM(G932:G934)</f>
        <v>26.667699356460147</v>
      </c>
      <c r="H931" s="1">
        <f t="shared" si="610"/>
        <v>22.46568737081116</v>
      </c>
      <c r="I931" s="1">
        <f t="shared" si="610"/>
        <v>21.678940145843871</v>
      </c>
      <c r="J931" s="1">
        <f t="shared" si="610"/>
        <v>18.414226507701169</v>
      </c>
      <c r="K931" s="1">
        <f t="shared" si="610"/>
        <v>16.08476284330326</v>
      </c>
    </row>
    <row r="932" spans="2:11" x14ac:dyDescent="0.35">
      <c r="B932" s="5" t="str">
        <f t="shared" si="584"/>
        <v>SPS4</v>
      </c>
      <c r="C932" s="5" t="str">
        <f t="shared" ref="C932:C951" si="611">C931</f>
        <v>CH</v>
      </c>
      <c r="D932" t="s">
        <v>1044</v>
      </c>
      <c r="E932" t="s">
        <v>8</v>
      </c>
      <c r="F932" s="1">
        <f>[1]Services!B$49</f>
        <v>24.189717359725375</v>
      </c>
      <c r="G932" s="1">
        <f>[1]Services!C$49</f>
        <v>25.326923068156745</v>
      </c>
      <c r="H932" s="1">
        <f>[1]Services!D$49</f>
        <v>20.706932059583416</v>
      </c>
      <c r="I932" s="1">
        <f>[1]Services!E$49</f>
        <v>18.202984929806597</v>
      </c>
      <c r="J932" s="1">
        <f>[1]Services!F$49</f>
        <v>12.419123526409546</v>
      </c>
      <c r="K932" s="1">
        <f>[1]Services!G$49</f>
        <v>7.4289590568378658</v>
      </c>
    </row>
    <row r="933" spans="2:11" x14ac:dyDescent="0.35">
      <c r="B933" s="5" t="str">
        <f t="shared" si="584"/>
        <v>SPS4</v>
      </c>
      <c r="C933" s="5" t="str">
        <f t="shared" ref="C933" si="612">C932</f>
        <v>CH</v>
      </c>
      <c r="D933" t="s">
        <v>1045</v>
      </c>
      <c r="E933" t="s">
        <v>8</v>
      </c>
      <c r="F933" s="1">
        <f>[1]Services!B$50</f>
        <v>0</v>
      </c>
      <c r="G933" s="1">
        <f>[1]Services!C$50</f>
        <v>0</v>
      </c>
      <c r="H933" s="1">
        <f>[1]Services!D$50</f>
        <v>1.7587553112277454</v>
      </c>
      <c r="I933" s="1">
        <f>[1]Services!E$50</f>
        <v>3.4759552160372738</v>
      </c>
      <c r="J933" s="1">
        <f>[1]Services!F$50</f>
        <v>5.9951029812916223</v>
      </c>
      <c r="K933" s="1">
        <f>[1]Services!G$50</f>
        <v>8.6558037864653947</v>
      </c>
    </row>
    <row r="934" spans="2:11" x14ac:dyDescent="0.35">
      <c r="B934" s="5" t="str">
        <f t="shared" si="584"/>
        <v>SPS4</v>
      </c>
      <c r="C934" s="5" t="str">
        <f>C932</f>
        <v>CH</v>
      </c>
      <c r="D934" t="s">
        <v>1046</v>
      </c>
      <c r="E934" t="s">
        <v>8</v>
      </c>
      <c r="F934" s="1">
        <f>[1]Services!B$56</f>
        <v>1.2230742215044998</v>
      </c>
      <c r="G934" s="1">
        <f>[1]Services!C$56</f>
        <v>1.340776288303402</v>
      </c>
      <c r="H934" s="1">
        <f>[1]Services!D$56</f>
        <v>0</v>
      </c>
      <c r="I934" s="1">
        <f>[1]Services!E$56</f>
        <v>0</v>
      </c>
      <c r="J934" s="1">
        <f>[1]Services!F$56</f>
        <v>0</v>
      </c>
      <c r="K934" s="1">
        <f>[1]Services!G$56</f>
        <v>0</v>
      </c>
    </row>
    <row r="935" spans="2:11" x14ac:dyDescent="0.35">
      <c r="B935" s="5" t="str">
        <f t="shared" si="584"/>
        <v>SPS4</v>
      </c>
      <c r="C935" s="5" t="str">
        <f t="shared" si="611"/>
        <v>CH</v>
      </c>
      <c r="D935" t="s">
        <v>984</v>
      </c>
      <c r="E935" t="s">
        <v>8</v>
      </c>
      <c r="F935" s="1">
        <f>F936+F942</f>
        <v>7.6496318862474837</v>
      </c>
      <c r="G935" s="1">
        <f t="shared" ref="G935:K935" si="613">G936+G942</f>
        <v>8.2860086890385638</v>
      </c>
      <c r="H935" s="1">
        <f t="shared" si="613"/>
        <v>4.9162375419161517</v>
      </c>
      <c r="I935" s="1">
        <f t="shared" si="613"/>
        <v>5.7370447801611126</v>
      </c>
      <c r="J935" s="1">
        <f t="shared" si="613"/>
        <v>6.5242493794224998</v>
      </c>
      <c r="K935" s="1">
        <f t="shared" si="613"/>
        <v>6.9328342732551418</v>
      </c>
    </row>
    <row r="936" spans="2:11" x14ac:dyDescent="0.35">
      <c r="B936" s="5" t="str">
        <f t="shared" si="584"/>
        <v>SPS4</v>
      </c>
      <c r="C936" s="5" t="str">
        <f t="shared" si="611"/>
        <v>CH</v>
      </c>
      <c r="D936" t="s">
        <v>985</v>
      </c>
      <c r="E936" t="s">
        <v>8</v>
      </c>
      <c r="F936" s="1">
        <f>[1]Services!B$51</f>
        <v>2.0957259422943397</v>
      </c>
      <c r="G936" s="1">
        <f>[1]Services!C$51</f>
        <v>2.2700707729478165</v>
      </c>
      <c r="H936" s="1">
        <f>[1]Services!D$51</f>
        <v>0</v>
      </c>
      <c r="I936" s="1">
        <f>[1]Services!E$51</f>
        <v>0</v>
      </c>
      <c r="J936" s="1">
        <f>[1]Services!F$51</f>
        <v>0</v>
      </c>
      <c r="K936" s="1">
        <f>[1]Services!G$51</f>
        <v>0</v>
      </c>
    </row>
    <row r="937" spans="2:11" x14ac:dyDescent="0.35">
      <c r="B937" s="5" t="str">
        <f t="shared" si="584"/>
        <v>SPS4</v>
      </c>
      <c r="C937" s="5" t="str">
        <f t="shared" si="611"/>
        <v>CH</v>
      </c>
      <c r="D937" t="s">
        <v>692</v>
      </c>
      <c r="E937" t="s">
        <v>8</v>
      </c>
      <c r="F937" s="1">
        <f>IFERROR(F905/F$904,0)*F$936</f>
        <v>1.4100568016063308</v>
      </c>
      <c r="G937" s="1">
        <f t="shared" ref="G937:K937" si="614">IFERROR(G905/G$904,0)*G$936</f>
        <v>1.5273448073886775</v>
      </c>
      <c r="H937" s="1">
        <f t="shared" si="614"/>
        <v>0</v>
      </c>
      <c r="I937" s="1">
        <f t="shared" si="614"/>
        <v>0</v>
      </c>
      <c r="J937" s="1">
        <f t="shared" si="614"/>
        <v>0</v>
      </c>
      <c r="K937" s="1">
        <f t="shared" si="614"/>
        <v>0</v>
      </c>
    </row>
    <row r="938" spans="2:11" x14ac:dyDescent="0.35">
      <c r="B938" s="5" t="str">
        <f t="shared" si="584"/>
        <v>SPS4</v>
      </c>
      <c r="C938" s="5" t="str">
        <f t="shared" si="611"/>
        <v>CH</v>
      </c>
      <c r="D938" t="s">
        <v>693</v>
      </c>
      <c r="E938" t="s">
        <v>8</v>
      </c>
      <c r="F938" s="1">
        <f>IFERROR(F906/F$904,0)*F$936</f>
        <v>0.68566914068800888</v>
      </c>
      <c r="G938" s="1">
        <f t="shared" ref="G938:K941" si="615">IFERROR(G906/G$904,0)*G$936</f>
        <v>0.74272596555913883</v>
      </c>
      <c r="H938" s="1">
        <f t="shared" si="615"/>
        <v>0</v>
      </c>
      <c r="I938" s="1">
        <f t="shared" si="615"/>
        <v>0</v>
      </c>
      <c r="J938" s="1">
        <f t="shared" si="615"/>
        <v>0</v>
      </c>
      <c r="K938" s="1">
        <f t="shared" si="615"/>
        <v>0</v>
      </c>
    </row>
    <row r="939" spans="2:11" x14ac:dyDescent="0.35">
      <c r="B939" s="5" t="str">
        <f t="shared" si="584"/>
        <v>SPS4</v>
      </c>
      <c r="C939" s="5" t="str">
        <f t="shared" si="611"/>
        <v>CH</v>
      </c>
      <c r="D939" t="s">
        <v>694</v>
      </c>
      <c r="E939" t="s">
        <v>8</v>
      </c>
      <c r="F939" s="1">
        <f>IFERROR(F907/F$904,0)*F$936</f>
        <v>0</v>
      </c>
      <c r="G939" s="1">
        <f t="shared" si="615"/>
        <v>0</v>
      </c>
      <c r="H939" s="1">
        <f t="shared" si="615"/>
        <v>0</v>
      </c>
      <c r="I939" s="1">
        <f t="shared" si="615"/>
        <v>0</v>
      </c>
      <c r="J939" s="1">
        <f t="shared" si="615"/>
        <v>0</v>
      </c>
      <c r="K939" s="1">
        <f t="shared" si="615"/>
        <v>0</v>
      </c>
    </row>
    <row r="940" spans="2:11" x14ac:dyDescent="0.35">
      <c r="B940" s="5" t="str">
        <f t="shared" si="584"/>
        <v>SPS4</v>
      </c>
      <c r="C940" s="5" t="str">
        <f t="shared" si="611"/>
        <v>CH</v>
      </c>
      <c r="D940" t="s">
        <v>695</v>
      </c>
      <c r="E940" t="s">
        <v>8</v>
      </c>
      <c r="F940" s="1">
        <f>IFERROR(F908/F$904,0)*F$936</f>
        <v>0</v>
      </c>
      <c r="G940" s="1">
        <f t="shared" si="615"/>
        <v>0</v>
      </c>
      <c r="H940" s="1">
        <f t="shared" si="615"/>
        <v>0</v>
      </c>
      <c r="I940" s="1">
        <f t="shared" si="615"/>
        <v>0</v>
      </c>
      <c r="J940" s="1">
        <f t="shared" si="615"/>
        <v>0</v>
      </c>
      <c r="K940" s="1">
        <f t="shared" si="615"/>
        <v>0</v>
      </c>
    </row>
    <row r="941" spans="2:11" x14ac:dyDescent="0.35">
      <c r="B941" s="5" t="str">
        <f t="shared" si="584"/>
        <v>SPS4</v>
      </c>
      <c r="C941" s="5" t="str">
        <f t="shared" si="611"/>
        <v>CH</v>
      </c>
      <c r="D941" t="s">
        <v>696</v>
      </c>
      <c r="E941" t="s">
        <v>8</v>
      </c>
      <c r="F941" s="1">
        <f>IFERROR(F909/F$904,0)*F$936</f>
        <v>0</v>
      </c>
      <c r="G941" s="1">
        <f t="shared" si="615"/>
        <v>0</v>
      </c>
      <c r="H941" s="1">
        <f t="shared" si="615"/>
        <v>0</v>
      </c>
      <c r="I941" s="1">
        <f t="shared" si="615"/>
        <v>0</v>
      </c>
      <c r="J941" s="1">
        <f t="shared" si="615"/>
        <v>0</v>
      </c>
      <c r="K941" s="1">
        <f t="shared" si="615"/>
        <v>0</v>
      </c>
    </row>
    <row r="942" spans="2:11" x14ac:dyDescent="0.35">
      <c r="B942" s="5" t="str">
        <f t="shared" si="584"/>
        <v>SPS4</v>
      </c>
      <c r="C942" s="5" t="str">
        <f t="shared" si="611"/>
        <v>CH</v>
      </c>
      <c r="D942" t="s">
        <v>986</v>
      </c>
      <c r="E942" t="s">
        <v>8</v>
      </c>
      <c r="F942" s="1">
        <f>[1]Services!B$52</f>
        <v>5.5539059439531435</v>
      </c>
      <c r="G942" s="1">
        <f>[1]Services!C$52</f>
        <v>6.0159379160907474</v>
      </c>
      <c r="H942" s="1">
        <f>[1]Services!D$52</f>
        <v>4.9162375419161517</v>
      </c>
      <c r="I942" s="1">
        <f>[1]Services!E$52</f>
        <v>5.7370447801611126</v>
      </c>
      <c r="J942" s="1">
        <f>[1]Services!F$52</f>
        <v>6.5242493794224998</v>
      </c>
      <c r="K942" s="1">
        <f>[1]Services!G$52</f>
        <v>6.9328342732551418</v>
      </c>
    </row>
    <row r="943" spans="2:11" x14ac:dyDescent="0.35">
      <c r="B943" s="5" t="str">
        <f t="shared" si="584"/>
        <v>SPS4</v>
      </c>
      <c r="C943" s="5" t="str">
        <f t="shared" si="611"/>
        <v>CH</v>
      </c>
      <c r="D943" t="s">
        <v>987</v>
      </c>
      <c r="E943" t="s">
        <v>8</v>
      </c>
      <c r="F943" s="1">
        <f>F944</f>
        <v>6.1735491224570991</v>
      </c>
      <c r="G943" s="1">
        <f t="shared" ref="G943:K943" si="616">G944</f>
        <v>6.7779154979552656</v>
      </c>
      <c r="H943" s="1">
        <f t="shared" si="616"/>
        <v>6.4441791461791906</v>
      </c>
      <c r="I943" s="1">
        <f t="shared" si="616"/>
        <v>6.5777740480288598</v>
      </c>
      <c r="J943" s="1">
        <f t="shared" si="616"/>
        <v>5.724033026179022</v>
      </c>
      <c r="K943" s="1">
        <f t="shared" si="616"/>
        <v>5.0823461869888638</v>
      </c>
    </row>
    <row r="944" spans="2:11" x14ac:dyDescent="0.35">
      <c r="B944" s="5" t="str">
        <f t="shared" si="584"/>
        <v>SPS4</v>
      </c>
      <c r="C944" s="5" t="str">
        <f t="shared" si="611"/>
        <v>CH</v>
      </c>
      <c r="D944" t="s">
        <v>988</v>
      </c>
      <c r="E944" t="s">
        <v>8</v>
      </c>
      <c r="F944" s="1">
        <f>[1]Services!B$53</f>
        <v>6.1735491224570991</v>
      </c>
      <c r="G944" s="1">
        <f>[1]Services!C$53</f>
        <v>6.7779154979552656</v>
      </c>
      <c r="H944" s="1">
        <f>[1]Services!D$53</f>
        <v>6.4441791461791906</v>
      </c>
      <c r="I944" s="1">
        <f>[1]Services!E$53</f>
        <v>6.5777740480288598</v>
      </c>
      <c r="J944" s="1">
        <f>[1]Services!F$53</f>
        <v>5.724033026179022</v>
      </c>
      <c r="K944" s="1">
        <f>[1]Services!G$53</f>
        <v>5.0823461869888638</v>
      </c>
    </row>
    <row r="945" spans="2:11" x14ac:dyDescent="0.35">
      <c r="B945" s="5" t="str">
        <f t="shared" si="584"/>
        <v>SPS4</v>
      </c>
      <c r="C945" s="5" t="str">
        <f t="shared" si="611"/>
        <v>CH</v>
      </c>
      <c r="D945" t="s">
        <v>989</v>
      </c>
      <c r="E945" t="s">
        <v>8</v>
      </c>
      <c r="F945" s="1">
        <f>F946</f>
        <v>1.8770767063479703</v>
      </c>
      <c r="G945" s="1">
        <f t="shared" ref="G945:K945" si="617">G946</f>
        <v>2.1600868027380549</v>
      </c>
      <c r="H945" s="1">
        <f t="shared" si="617"/>
        <v>0.44757659949395701</v>
      </c>
      <c r="I945" s="1">
        <f t="shared" si="617"/>
        <v>0.75648915469038847</v>
      </c>
      <c r="J945" s="1">
        <f t="shared" si="617"/>
        <v>1.0745662303424859</v>
      </c>
      <c r="K945" s="1">
        <f t="shared" si="617"/>
        <v>1.3133791263197232</v>
      </c>
    </row>
    <row r="946" spans="2:11" x14ac:dyDescent="0.35">
      <c r="B946" s="5" t="str">
        <f t="shared" si="584"/>
        <v>SPS4</v>
      </c>
      <c r="C946" s="5" t="str">
        <f t="shared" si="611"/>
        <v>CH</v>
      </c>
      <c r="D946" t="s">
        <v>990</v>
      </c>
      <c r="E946" t="s">
        <v>8</v>
      </c>
      <c r="F946" s="1">
        <f>[1]Services!B$54</f>
        <v>1.8770767063479703</v>
      </c>
      <c r="G946" s="1">
        <f>[1]Services!C$54</f>
        <v>2.1600868027380549</v>
      </c>
      <c r="H946" s="1">
        <f>[1]Services!D$54</f>
        <v>0.44757659949395701</v>
      </c>
      <c r="I946" s="1">
        <f>[1]Services!E$54</f>
        <v>0.75648915469038847</v>
      </c>
      <c r="J946" s="1">
        <f>[1]Services!F$54</f>
        <v>1.0745662303424859</v>
      </c>
      <c r="K946" s="1">
        <f>[1]Services!G$54</f>
        <v>1.3133791263197232</v>
      </c>
    </row>
    <row r="947" spans="2:11" x14ac:dyDescent="0.35">
      <c r="B947" s="5" t="str">
        <f t="shared" si="584"/>
        <v>SPS4</v>
      </c>
      <c r="C947" s="5" t="str">
        <f t="shared" si="611"/>
        <v>CH</v>
      </c>
      <c r="D947" t="s">
        <v>991</v>
      </c>
      <c r="E947" t="s">
        <v>8</v>
      </c>
      <c r="F947" s="1">
        <f>F948</f>
        <v>0.62700671930761676</v>
      </c>
      <c r="G947" s="1">
        <f t="shared" ref="G947:K947" si="618">G948</f>
        <v>0.68735545931227937</v>
      </c>
      <c r="H947" s="1">
        <f t="shared" si="618"/>
        <v>0.52902670081987391</v>
      </c>
      <c r="I947" s="1">
        <f t="shared" si="618"/>
        <v>0.61605070896952618</v>
      </c>
      <c r="J947" s="1">
        <f t="shared" si="618"/>
        <v>0.74256233133239768</v>
      </c>
      <c r="K947" s="1">
        <f t="shared" si="618"/>
        <v>0.88984948267205854</v>
      </c>
    </row>
    <row r="948" spans="2:11" x14ac:dyDescent="0.35">
      <c r="B948" s="5" t="str">
        <f t="shared" ref="B948:B1011" si="619">B947</f>
        <v>SPS4</v>
      </c>
      <c r="C948" s="5" t="str">
        <f t="shared" si="611"/>
        <v>CH</v>
      </c>
      <c r="D948" t="s">
        <v>992</v>
      </c>
      <c r="E948" t="s">
        <v>8</v>
      </c>
      <c r="F948" s="1">
        <f>[1]Services!B$55</f>
        <v>0.62700671930761676</v>
      </c>
      <c r="G948" s="1">
        <f>[1]Services!C$55</f>
        <v>0.68735545931227937</v>
      </c>
      <c r="H948" s="1">
        <f>[1]Services!D$55</f>
        <v>0.52902670081987391</v>
      </c>
      <c r="I948" s="1">
        <f>[1]Services!E$55</f>
        <v>0.61605070896952618</v>
      </c>
      <c r="J948" s="1">
        <f>[1]Services!F$55</f>
        <v>0.74256233133239768</v>
      </c>
      <c r="K948" s="1">
        <f>[1]Services!G$55</f>
        <v>0.88984948267205854</v>
      </c>
    </row>
    <row r="949" spans="2:11" x14ac:dyDescent="0.35">
      <c r="B949" s="5" t="str">
        <f t="shared" si="619"/>
        <v>SPS4</v>
      </c>
      <c r="C949" s="5" t="str">
        <f t="shared" si="611"/>
        <v>CH</v>
      </c>
      <c r="D949" t="s">
        <v>993</v>
      </c>
      <c r="E949" t="s">
        <v>8</v>
      </c>
      <c r="F949" s="1">
        <f>F950</f>
        <v>0</v>
      </c>
      <c r="G949" s="1">
        <f t="shared" ref="G949:K949" si="620">G950</f>
        <v>0</v>
      </c>
      <c r="H949" s="1">
        <f t="shared" si="620"/>
        <v>0</v>
      </c>
      <c r="I949" s="1">
        <f t="shared" si="620"/>
        <v>0</v>
      </c>
      <c r="J949" s="1">
        <f t="shared" si="620"/>
        <v>0</v>
      </c>
      <c r="K949" s="1">
        <f t="shared" si="620"/>
        <v>0</v>
      </c>
    </row>
    <row r="950" spans="2:11" x14ac:dyDescent="0.35">
      <c r="B950" s="5" t="str">
        <f t="shared" si="619"/>
        <v>SPS4</v>
      </c>
      <c r="C950" s="5" t="str">
        <f t="shared" si="611"/>
        <v>CH</v>
      </c>
      <c r="D950" t="s">
        <v>994</v>
      </c>
      <c r="E950" t="s">
        <v>8</v>
      </c>
      <c r="F950" s="1">
        <f>[1]Services!B$57</f>
        <v>0</v>
      </c>
      <c r="G950" s="1">
        <f>[1]Services!C$57</f>
        <v>0</v>
      </c>
      <c r="H950" s="1">
        <f>[1]Services!D$57</f>
        <v>0</v>
      </c>
      <c r="I950" s="1">
        <f>[1]Services!E$57</f>
        <v>0</v>
      </c>
      <c r="J950" s="1">
        <f>[1]Services!F$57</f>
        <v>0</v>
      </c>
      <c r="K950" s="1">
        <f>[1]Services!G$57</f>
        <v>0</v>
      </c>
    </row>
    <row r="951" spans="2:11" x14ac:dyDescent="0.35">
      <c r="B951" s="5" t="str">
        <f t="shared" si="619"/>
        <v>SPS4</v>
      </c>
      <c r="C951" s="5" t="str">
        <f t="shared" si="611"/>
        <v>CH</v>
      </c>
      <c r="D951" t="s">
        <v>995</v>
      </c>
      <c r="E951" t="s">
        <v>8</v>
      </c>
      <c r="F951" s="1">
        <f>[1]Services!B$58</f>
        <v>0</v>
      </c>
      <c r="G951" s="1">
        <f>[1]Services!C$58</f>
        <v>6.9646440341420819</v>
      </c>
      <c r="H951" s="1">
        <f>[1]Services!D$58</f>
        <v>2.235639735376358</v>
      </c>
      <c r="I951" s="1">
        <f>[1]Services!E$58</f>
        <v>4.0631552895302612</v>
      </c>
      <c r="J951" s="1">
        <f>[1]Services!F$58</f>
        <v>7.5651168864264271</v>
      </c>
      <c r="K951" s="1">
        <f>[1]Services!G$58</f>
        <v>10.781446377747868</v>
      </c>
    </row>
    <row r="952" spans="2:11" x14ac:dyDescent="0.35">
      <c r="B952" s="5" t="str">
        <f t="shared" si="619"/>
        <v>SPS4</v>
      </c>
      <c r="C952" s="5" t="str">
        <f>C951</f>
        <v>CH</v>
      </c>
      <c r="D952" s="2" t="s">
        <v>689</v>
      </c>
      <c r="E952" s="2" t="s">
        <v>240</v>
      </c>
      <c r="F952" s="1" t="s">
        <v>292</v>
      </c>
      <c r="G952" s="1" t="s">
        <v>292</v>
      </c>
      <c r="H952" s="1" t="s">
        <v>292</v>
      </c>
      <c r="I952" s="1" t="s">
        <v>292</v>
      </c>
      <c r="J952" s="1" t="s">
        <v>292</v>
      </c>
      <c r="K952" s="1" t="s">
        <v>292</v>
      </c>
    </row>
    <row r="953" spans="2:11" x14ac:dyDescent="0.35">
      <c r="B953" s="5" t="str">
        <f t="shared" si="619"/>
        <v>SPS4</v>
      </c>
      <c r="C953" s="5" t="str">
        <f t="shared" ref="C953:C969" si="621">C952</f>
        <v>CH</v>
      </c>
      <c r="D953" t="s">
        <v>761</v>
      </c>
      <c r="E953" t="s">
        <v>240</v>
      </c>
      <c r="F953" s="4">
        <f t="shared" ref="F953:K955" si="622">IFERROR(F926/F882,"-")</f>
        <v>0.91250000000000009</v>
      </c>
      <c r="G953" s="4">
        <f t="shared" si="622"/>
        <v>0.91500000000000026</v>
      </c>
      <c r="H953" s="4">
        <f t="shared" si="622"/>
        <v>0.47251567964394164</v>
      </c>
      <c r="I953" s="4">
        <f t="shared" si="622"/>
        <v>0.48533942479441855</v>
      </c>
      <c r="J953" s="4">
        <f t="shared" si="622"/>
        <v>0.50238106670550975</v>
      </c>
      <c r="K953" s="4">
        <f t="shared" si="622"/>
        <v>0.52497371381837277</v>
      </c>
    </row>
    <row r="954" spans="2:11" x14ac:dyDescent="0.35">
      <c r="B954" s="5" t="str">
        <f t="shared" si="619"/>
        <v>SPS4</v>
      </c>
      <c r="C954" s="5" t="str">
        <f t="shared" si="621"/>
        <v>CH</v>
      </c>
      <c r="D954" t="s">
        <v>730</v>
      </c>
      <c r="E954" t="s">
        <v>240</v>
      </c>
      <c r="F954" s="4">
        <f t="shared" si="622"/>
        <v>3.2000000000000015</v>
      </c>
      <c r="G954" s="4">
        <f t="shared" si="622"/>
        <v>3.2400000000000042</v>
      </c>
      <c r="H954" s="4">
        <f t="shared" si="622"/>
        <v>2.8448553185807328</v>
      </c>
      <c r="I954" s="4">
        <f t="shared" si="622"/>
        <v>3.0268331793549614</v>
      </c>
      <c r="J954" s="4">
        <f t="shared" si="622"/>
        <v>3.2435063357045384</v>
      </c>
      <c r="K954" s="4">
        <f t="shared" si="622"/>
        <v>3.4698882047375901</v>
      </c>
    </row>
    <row r="955" spans="2:11" x14ac:dyDescent="0.35">
      <c r="B955" s="5" t="str">
        <f t="shared" si="619"/>
        <v>SPS4</v>
      </c>
      <c r="C955" s="5" t="str">
        <f t="shared" si="621"/>
        <v>CH</v>
      </c>
      <c r="D955" t="s">
        <v>699</v>
      </c>
      <c r="E955" t="s">
        <v>240</v>
      </c>
      <c r="F955" s="4">
        <f t="shared" si="622"/>
        <v>0.99999999999999989</v>
      </c>
      <c r="G955" s="4">
        <f t="shared" si="622"/>
        <v>1</v>
      </c>
      <c r="H955" s="4">
        <f t="shared" si="622"/>
        <v>0.99999999999999989</v>
      </c>
      <c r="I955" s="4">
        <f t="shared" si="622"/>
        <v>1</v>
      </c>
      <c r="J955" s="4">
        <f t="shared" si="622"/>
        <v>1</v>
      </c>
      <c r="K955" s="4">
        <f t="shared" si="622"/>
        <v>1</v>
      </c>
    </row>
    <row r="956" spans="2:11" x14ac:dyDescent="0.35">
      <c r="B956" s="5" t="str">
        <f t="shared" si="619"/>
        <v>SPS4</v>
      </c>
      <c r="C956" s="5" t="str">
        <f t="shared" si="621"/>
        <v>CH</v>
      </c>
      <c r="D956" t="s">
        <v>700</v>
      </c>
      <c r="E956" t="s">
        <v>240</v>
      </c>
      <c r="F956" s="4">
        <f t="shared" ref="F956:K956" si="623">IFERROR(F930/F886,"-")</f>
        <v>0.82107843137254877</v>
      </c>
      <c r="G956" s="4">
        <f t="shared" si="623"/>
        <v>0.82270432925645531</v>
      </c>
      <c r="H956" s="4">
        <f t="shared" si="623"/>
        <v>0.79421383630498699</v>
      </c>
      <c r="I956" s="4">
        <f t="shared" si="623"/>
        <v>0.81039611587380023</v>
      </c>
      <c r="J956" s="4">
        <f t="shared" si="623"/>
        <v>0.81740175846267438</v>
      </c>
      <c r="K956" s="4">
        <f t="shared" si="623"/>
        <v>0.81740175846267449</v>
      </c>
    </row>
    <row r="957" spans="2:11" x14ac:dyDescent="0.35">
      <c r="B957" s="5" t="str">
        <f t="shared" si="619"/>
        <v>SPS4</v>
      </c>
      <c r="C957" s="5" t="str">
        <f t="shared" si="621"/>
        <v>CH</v>
      </c>
      <c r="D957" t="s">
        <v>701</v>
      </c>
      <c r="E957" t="s">
        <v>240</v>
      </c>
      <c r="F957" s="4">
        <f t="shared" ref="F957:K959" si="624">IFERROR(F932/F893,"-")</f>
        <v>0.94680851063829796</v>
      </c>
      <c r="G957" s="4">
        <f t="shared" si="624"/>
        <v>0.94680851063829852</v>
      </c>
      <c r="H957" s="4">
        <f t="shared" si="624"/>
        <v>0.82448748744892164</v>
      </c>
      <c r="I957" s="4">
        <f t="shared" si="624"/>
        <v>0.79699517505037398</v>
      </c>
      <c r="J957" s="4">
        <f t="shared" si="624"/>
        <v>0.71839847968609372</v>
      </c>
      <c r="K957" s="4">
        <f t="shared" si="624"/>
        <v>0.58607394339494578</v>
      </c>
    </row>
    <row r="958" spans="2:11" x14ac:dyDescent="0.35">
      <c r="B958" s="5" t="str">
        <f t="shared" si="619"/>
        <v>SPS4</v>
      </c>
      <c r="C958" s="5" t="str">
        <f t="shared" si="621"/>
        <v>CH</v>
      </c>
      <c r="D958" t="s">
        <v>731</v>
      </c>
      <c r="E958" t="s">
        <v>240</v>
      </c>
      <c r="F958" s="4" t="str">
        <f t="shared" si="624"/>
        <v>-</v>
      </c>
      <c r="G958" s="4" t="str">
        <f t="shared" si="624"/>
        <v>-</v>
      </c>
      <c r="H958" s="4">
        <f t="shared" si="624"/>
        <v>1.9132341976567606</v>
      </c>
      <c r="I958" s="4">
        <f t="shared" si="624"/>
        <v>1.9629811030262985</v>
      </c>
      <c r="J958" s="4">
        <f t="shared" si="624"/>
        <v>2.0392924269816173</v>
      </c>
      <c r="K958" s="4">
        <f t="shared" si="624"/>
        <v>2.1146002691029704</v>
      </c>
    </row>
    <row r="959" spans="2:11" x14ac:dyDescent="0.35">
      <c r="B959" s="5" t="str">
        <f t="shared" si="619"/>
        <v>SPS4</v>
      </c>
      <c r="C959" s="5" t="str">
        <f t="shared" si="621"/>
        <v>CH</v>
      </c>
      <c r="D959" t="s">
        <v>702</v>
      </c>
      <c r="E959" t="s">
        <v>240</v>
      </c>
      <c r="F959" s="4">
        <f t="shared" si="624"/>
        <v>0.87219999999999931</v>
      </c>
      <c r="G959" s="4">
        <f t="shared" si="624"/>
        <v>0.8721999999999992</v>
      </c>
      <c r="H959" s="4" t="str">
        <f t="shared" si="624"/>
        <v>-</v>
      </c>
      <c r="I959" s="4" t="str">
        <f t="shared" si="624"/>
        <v>-</v>
      </c>
      <c r="J959" s="4" t="str">
        <f t="shared" si="624"/>
        <v>-</v>
      </c>
      <c r="K959" s="4" t="str">
        <f t="shared" si="624"/>
        <v>-</v>
      </c>
    </row>
    <row r="960" spans="2:11" x14ac:dyDescent="0.35">
      <c r="B960" s="5" t="str">
        <f t="shared" si="619"/>
        <v>SPS4</v>
      </c>
      <c r="C960" s="5" t="str">
        <f>C959</f>
        <v>CH</v>
      </c>
      <c r="D960" t="s">
        <v>703</v>
      </c>
      <c r="E960" t="s">
        <v>240</v>
      </c>
      <c r="F960" s="4">
        <f t="shared" ref="F960:K965" si="625">IFERROR(F937/F905,"-")</f>
        <v>0.9900000000000001</v>
      </c>
      <c r="G960" s="4">
        <f t="shared" si="625"/>
        <v>0.98999999999999977</v>
      </c>
      <c r="H960" s="4">
        <f t="shared" si="625"/>
        <v>0</v>
      </c>
      <c r="I960" s="4">
        <f t="shared" si="625"/>
        <v>0</v>
      </c>
      <c r="J960" s="4">
        <f t="shared" si="625"/>
        <v>0</v>
      </c>
      <c r="K960" s="4">
        <f t="shared" si="625"/>
        <v>0</v>
      </c>
    </row>
    <row r="961" spans="2:11" x14ac:dyDescent="0.35">
      <c r="B961" s="5" t="str">
        <f t="shared" si="619"/>
        <v>SPS4</v>
      </c>
      <c r="C961" s="5" t="str">
        <f t="shared" si="621"/>
        <v>CH</v>
      </c>
      <c r="D961" t="s">
        <v>704</v>
      </c>
      <c r="E961" t="s">
        <v>240</v>
      </c>
      <c r="F961" s="4">
        <f t="shared" si="625"/>
        <v>0.9900000000000001</v>
      </c>
      <c r="G961" s="4">
        <f t="shared" si="625"/>
        <v>0.98999999999999988</v>
      </c>
      <c r="H961" s="4">
        <f t="shared" si="625"/>
        <v>0</v>
      </c>
      <c r="I961" s="4">
        <f t="shared" si="625"/>
        <v>0</v>
      </c>
      <c r="J961" s="4">
        <f t="shared" si="625"/>
        <v>0</v>
      </c>
      <c r="K961" s="4">
        <f t="shared" si="625"/>
        <v>0</v>
      </c>
    </row>
    <row r="962" spans="2:11" x14ac:dyDescent="0.35">
      <c r="B962" s="5" t="str">
        <f t="shared" si="619"/>
        <v>SPS4</v>
      </c>
      <c r="C962" s="5" t="str">
        <f t="shared" si="621"/>
        <v>CH</v>
      </c>
      <c r="D962" t="s">
        <v>705</v>
      </c>
      <c r="E962" t="s">
        <v>240</v>
      </c>
      <c r="F962" s="4" t="str">
        <f t="shared" si="625"/>
        <v>-</v>
      </c>
      <c r="G962" s="4" t="str">
        <f t="shared" si="625"/>
        <v>-</v>
      </c>
      <c r="H962" s="4" t="str">
        <f t="shared" si="625"/>
        <v>-</v>
      </c>
      <c r="I962" s="4">
        <f t="shared" si="625"/>
        <v>0</v>
      </c>
      <c r="J962" s="4">
        <f t="shared" si="625"/>
        <v>0</v>
      </c>
      <c r="K962" s="4">
        <f t="shared" si="625"/>
        <v>0</v>
      </c>
    </row>
    <row r="963" spans="2:11" x14ac:dyDescent="0.35">
      <c r="B963" s="5" t="str">
        <f t="shared" si="619"/>
        <v>SPS4</v>
      </c>
      <c r="C963" s="5" t="str">
        <f t="shared" si="621"/>
        <v>CH</v>
      </c>
      <c r="D963" t="s">
        <v>706</v>
      </c>
      <c r="E963" t="s">
        <v>240</v>
      </c>
      <c r="F963" s="4" t="str">
        <f t="shared" si="625"/>
        <v>-</v>
      </c>
      <c r="G963" s="4" t="str">
        <f t="shared" si="625"/>
        <v>-</v>
      </c>
      <c r="H963" s="4" t="str">
        <f t="shared" si="625"/>
        <v>-</v>
      </c>
      <c r="I963" s="4">
        <f t="shared" si="625"/>
        <v>0</v>
      </c>
      <c r="J963" s="4">
        <f t="shared" si="625"/>
        <v>0</v>
      </c>
      <c r="K963" s="4">
        <f t="shared" si="625"/>
        <v>0</v>
      </c>
    </row>
    <row r="964" spans="2:11" x14ac:dyDescent="0.35">
      <c r="B964" s="5" t="str">
        <f t="shared" si="619"/>
        <v>SPS4</v>
      </c>
      <c r="C964" s="5" t="str">
        <f t="shared" si="621"/>
        <v>CH</v>
      </c>
      <c r="D964" t="s">
        <v>707</v>
      </c>
      <c r="E964" t="s">
        <v>240</v>
      </c>
      <c r="F964" s="4" t="str">
        <f t="shared" si="625"/>
        <v>-</v>
      </c>
      <c r="G964" s="4" t="str">
        <f t="shared" si="625"/>
        <v>-</v>
      </c>
      <c r="H964" s="4" t="str">
        <f t="shared" si="625"/>
        <v>-</v>
      </c>
      <c r="I964" s="4" t="str">
        <f t="shared" si="625"/>
        <v>-</v>
      </c>
      <c r="J964" s="4" t="str">
        <f t="shared" si="625"/>
        <v>-</v>
      </c>
      <c r="K964" s="4" t="str">
        <f t="shared" si="625"/>
        <v>-</v>
      </c>
    </row>
    <row r="965" spans="2:11" x14ac:dyDescent="0.35">
      <c r="B965" s="5" t="str">
        <f t="shared" si="619"/>
        <v>SPS4</v>
      </c>
      <c r="C965" s="5" t="str">
        <f t="shared" si="621"/>
        <v>CH</v>
      </c>
      <c r="D965" t="s">
        <v>996</v>
      </c>
      <c r="E965" t="s">
        <v>240</v>
      </c>
      <c r="F965" s="4">
        <f t="shared" si="625"/>
        <v>0.98999999999999932</v>
      </c>
      <c r="G965" s="4">
        <f t="shared" si="625"/>
        <v>0.9900000000000001</v>
      </c>
      <c r="H965" s="4">
        <f t="shared" si="625"/>
        <v>0.8231551820789802</v>
      </c>
      <c r="I965" s="4">
        <f t="shared" si="625"/>
        <v>0.82679816632896896</v>
      </c>
      <c r="J965" s="4">
        <f t="shared" si="625"/>
        <v>0.82679816632896896</v>
      </c>
      <c r="K965" s="4">
        <f t="shared" si="625"/>
        <v>0.82679816632896952</v>
      </c>
    </row>
    <row r="966" spans="2:11" x14ac:dyDescent="0.35">
      <c r="B966" s="5" t="str">
        <f t="shared" si="619"/>
        <v>SPS4</v>
      </c>
      <c r="C966" s="5" t="str">
        <f t="shared" si="621"/>
        <v>CH</v>
      </c>
      <c r="D966" t="s">
        <v>997</v>
      </c>
      <c r="E966" t="s">
        <v>240</v>
      </c>
      <c r="F966" s="4">
        <f t="shared" ref="F966:K966" si="626">IFERROR(F944/F911,"-")</f>
        <v>0.72000000000000075</v>
      </c>
      <c r="G966" s="4">
        <f t="shared" si="626"/>
        <v>0.71999999999999964</v>
      </c>
      <c r="H966" s="4">
        <f t="shared" si="626"/>
        <v>0.67612726472031592</v>
      </c>
      <c r="I966" s="4">
        <f t="shared" si="626"/>
        <v>0.67841509009298573</v>
      </c>
      <c r="J966" s="4">
        <f t="shared" si="626"/>
        <v>0.6784150900929854</v>
      </c>
      <c r="K966" s="4">
        <f t="shared" si="626"/>
        <v>0.68092710854516314</v>
      </c>
    </row>
    <row r="967" spans="2:11" x14ac:dyDescent="0.35">
      <c r="B967" s="5" t="str">
        <f t="shared" si="619"/>
        <v>SPS4</v>
      </c>
      <c r="C967" s="5" t="str">
        <f t="shared" si="621"/>
        <v>CH</v>
      </c>
      <c r="D967" t="s">
        <v>998</v>
      </c>
      <c r="E967" t="s">
        <v>240</v>
      </c>
      <c r="F967" s="4">
        <f t="shared" ref="F967:K967" si="627">IFERROR(F946/F914,"-")</f>
        <v>0.89999999999999947</v>
      </c>
      <c r="G967" s="4">
        <f t="shared" si="627"/>
        <v>0.90000000000000013</v>
      </c>
      <c r="H967" s="4">
        <f t="shared" si="627"/>
        <v>0.66808137012253543</v>
      </c>
      <c r="I967" s="4">
        <f t="shared" si="627"/>
        <v>0.67227451034633889</v>
      </c>
      <c r="J967" s="4">
        <f t="shared" si="627"/>
        <v>0.67247489559841878</v>
      </c>
      <c r="K967" s="4">
        <f t="shared" si="627"/>
        <v>0.67247489559841844</v>
      </c>
    </row>
    <row r="968" spans="2:11" x14ac:dyDescent="0.35">
      <c r="B968" s="5" t="str">
        <f t="shared" si="619"/>
        <v>SPS4</v>
      </c>
      <c r="C968" s="5" t="str">
        <f t="shared" si="621"/>
        <v>CH</v>
      </c>
      <c r="D968" t="s">
        <v>999</v>
      </c>
      <c r="E968" t="s">
        <v>240</v>
      </c>
      <c r="F968" s="4">
        <f t="shared" ref="F968:K968" si="628">IFERROR(F948/F916,"-")</f>
        <v>1</v>
      </c>
      <c r="G968" s="4">
        <f t="shared" si="628"/>
        <v>1</v>
      </c>
      <c r="H968" s="4">
        <f t="shared" si="628"/>
        <v>1</v>
      </c>
      <c r="I968" s="4">
        <f t="shared" si="628"/>
        <v>1</v>
      </c>
      <c r="J968" s="4">
        <f t="shared" si="628"/>
        <v>1</v>
      </c>
      <c r="K968" s="4">
        <f t="shared" si="628"/>
        <v>1</v>
      </c>
    </row>
    <row r="969" spans="2:11" x14ac:dyDescent="0.35">
      <c r="B969" s="5" t="str">
        <f t="shared" si="619"/>
        <v>SPS4</v>
      </c>
      <c r="C969" s="5" t="str">
        <f t="shared" si="621"/>
        <v>CH</v>
      </c>
      <c r="D969" t="s">
        <v>1000</v>
      </c>
      <c r="E969" t="s">
        <v>240</v>
      </c>
      <c r="F969" s="4" t="str">
        <f t="shared" ref="F969:K969" si="629">IFERROR(F950/F920,"-")</f>
        <v>-</v>
      </c>
      <c r="G969" s="4" t="str">
        <f t="shared" si="629"/>
        <v>-</v>
      </c>
      <c r="H969" s="4" t="str">
        <f t="shared" si="629"/>
        <v>-</v>
      </c>
      <c r="I969" s="4" t="str">
        <f t="shared" si="629"/>
        <v>-</v>
      </c>
      <c r="J969" s="4" t="str">
        <f t="shared" si="629"/>
        <v>-</v>
      </c>
      <c r="K969" s="4" t="str">
        <f t="shared" si="629"/>
        <v>-</v>
      </c>
    </row>
    <row r="970" spans="2:11" x14ac:dyDescent="0.35">
      <c r="B970" s="9" t="str">
        <f t="shared" si="619"/>
        <v>SPS4</v>
      </c>
      <c r="C970" s="9" t="str">
        <f>C922</f>
        <v>CH</v>
      </c>
      <c r="D970" s="2" t="s">
        <v>740</v>
      </c>
      <c r="E970" s="9" t="s">
        <v>8</v>
      </c>
      <c r="F970" s="3">
        <f>[1]Residential!B$26</f>
        <v>219.89495421484719</v>
      </c>
      <c r="G970" s="3">
        <f>[1]Residential!C$26</f>
        <v>217.37166530943185</v>
      </c>
      <c r="H970" s="3">
        <f>[1]Residential!D$26</f>
        <v>220.43392185863385</v>
      </c>
      <c r="I970" s="3">
        <f>[1]Residential!E$26</f>
        <v>211.31443995459256</v>
      </c>
      <c r="J970" s="3">
        <f>[1]Residential!F$26</f>
        <v>199.89894036602684</v>
      </c>
      <c r="K970" s="3">
        <f>[1]Residential!G$26</f>
        <v>190.99293088543195</v>
      </c>
    </row>
    <row r="971" spans="2:11" x14ac:dyDescent="0.35">
      <c r="B971" s="5" t="str">
        <f t="shared" si="619"/>
        <v>SPS4</v>
      </c>
      <c r="C971" s="5" t="str">
        <f>C970</f>
        <v>CH</v>
      </c>
      <c r="D971" t="s">
        <v>1001</v>
      </c>
      <c r="E971" t="s">
        <v>8</v>
      </c>
      <c r="F971" s="1">
        <f>[1]Residential!B$15</f>
        <v>69.470150123642156</v>
      </c>
      <c r="G971" s="1">
        <f>[1]Residential!C$15</f>
        <v>69.648129012004901</v>
      </c>
      <c r="H971" s="1">
        <f>[1]Residential!D$15</f>
        <v>69.475901754880141</v>
      </c>
      <c r="I971" s="1">
        <f>[1]Residential!E$15</f>
        <v>70.668990431573576</v>
      </c>
      <c r="J971" s="1">
        <f>[1]Residential!F$15</f>
        <v>72.798485411218067</v>
      </c>
      <c r="K971" s="1">
        <f>[1]Residential!G$15</f>
        <v>73.424123707257124</v>
      </c>
    </row>
    <row r="972" spans="2:11" x14ac:dyDescent="0.35">
      <c r="B972" s="5" t="str">
        <f t="shared" si="619"/>
        <v>SPS4</v>
      </c>
      <c r="C972" s="5" t="str">
        <f>C971</f>
        <v>CH</v>
      </c>
      <c r="D972" t="s">
        <v>1002</v>
      </c>
      <c r="E972" t="s">
        <v>8</v>
      </c>
      <c r="F972" s="1">
        <f>SUM(F973:F974)</f>
        <v>15.333284257023244</v>
      </c>
      <c r="G972" s="1">
        <f t="shared" ref="G972:K972" si="630">SUM(G973:G974)</f>
        <v>14.701623924564068</v>
      </c>
      <c r="H972" s="1">
        <f t="shared" si="630"/>
        <v>11.372735524133581</v>
      </c>
      <c r="I972" s="1">
        <f t="shared" si="630"/>
        <v>12.625948937273462</v>
      </c>
      <c r="J972" s="1">
        <f t="shared" si="630"/>
        <v>13.919537989076874</v>
      </c>
      <c r="K972" s="1">
        <f t="shared" si="630"/>
        <v>14.591572201513515</v>
      </c>
    </row>
    <row r="973" spans="2:11" x14ac:dyDescent="0.35">
      <c r="B973" s="5" t="str">
        <f t="shared" si="619"/>
        <v>SPS4</v>
      </c>
      <c r="C973" s="5" t="str">
        <f t="shared" ref="C973" si="631">C972</f>
        <v>CH</v>
      </c>
      <c r="D973" t="s">
        <v>762</v>
      </c>
      <c r="E973" t="s">
        <v>8</v>
      </c>
      <c r="F973" s="1" cm="1">
        <f t="array" ref="F973">SUMPRODUCT(([1]OUT_FinalEnergyCons!$B$4:$B$10000="Var_Fin")*1,ISNUMBER(SEARCH("R*_ELC",[1]OUT_FinalEnergyCons!$C$4:$C$10000))*1, (ISNUMBER(SEARCH("RH*-SHELCBR",[1]OUT_FinalEnergyCons!$A$4:$A$10000)))*1,[1]OUT_FinalEnergyCons!D$4:D$10000)</f>
        <v>9.3769098154685651</v>
      </c>
      <c r="G973" s="1" cm="1">
        <f t="array" ref="G973">SUMPRODUCT(([1]OUT_FinalEnergyCons!$B$4:$B$10000="Var_Fin")*1,ISNUMBER(SEARCH("R*_ELC",[1]OUT_FinalEnergyCons!$C$4:$C$10000))*1, (ISNUMBER(SEARCH("RH*-SHELCBR",[1]OUT_FinalEnergyCons!$A$4:$A$10000)))*1,[1]OUT_FinalEnergyCons!E$4:E$10000)</f>
        <v>7.9175741253087555</v>
      </c>
      <c r="H973" s="1" cm="1">
        <f t="array" ref="H973">SUMPRODUCT(([1]OUT_FinalEnergyCons!$B$4:$B$10000="Var_Fin")*1,ISNUMBER(SEARCH("R*_ELC",[1]OUT_FinalEnergyCons!$C$4:$C$10000))*1, (ISNUMBER(SEARCH("RH*-SHELCBR",[1]OUT_FinalEnergyCons!$A$4:$A$10000)))*1,[1]OUT_FinalEnergyCons!F$4:F$10000)</f>
        <v>0.90748068574085117</v>
      </c>
      <c r="I973" s="1" cm="1">
        <f t="array" ref="I973">SUMPRODUCT(([1]OUT_FinalEnergyCons!$B$4:$B$10000="Var_Fin")*1,ISNUMBER(SEARCH("R*_ELC",[1]OUT_FinalEnergyCons!$C$4:$C$10000))*1, (ISNUMBER(SEARCH("RH*-SHELCBR",[1]OUT_FinalEnergyCons!$A$4:$A$10000)))*1,[1]OUT_FinalEnergyCons!G$4:G$10000)</f>
        <v>0.24407585010810121</v>
      </c>
      <c r="J973" s="1" cm="1">
        <f t="array" ref="J973">SUMPRODUCT(([1]OUT_FinalEnergyCons!$B$4:$B$10000="Var_Fin")*1,ISNUMBER(SEARCH("R*_ELC",[1]OUT_FinalEnergyCons!$C$4:$C$10000))*1, (ISNUMBER(SEARCH("RH*-SHELCBR",[1]OUT_FinalEnergyCons!$A$4:$A$10000)))*1,[1]OUT_FinalEnergyCons!H$4:H$10000)</f>
        <v>4.419322211007843E-2</v>
      </c>
      <c r="K973" s="1" cm="1">
        <f t="array" ref="K973">SUMPRODUCT(([1]OUT_FinalEnergyCons!$B$4:$B$10000="Var_Fin")*1,ISNUMBER(SEARCH("R*_ELC",[1]OUT_FinalEnergyCons!$C$4:$C$10000))*1, (ISNUMBER(SEARCH("RH*-SHELCBR",[1]OUT_FinalEnergyCons!$A$4:$A$10000)))*1,[1]OUT_FinalEnergyCons!I$4:I$10000)</f>
        <v>4.7484706792124853E-2</v>
      </c>
    </row>
    <row r="974" spans="2:11" x14ac:dyDescent="0.35">
      <c r="B974" s="5" t="str">
        <f t="shared" si="619"/>
        <v>SPS4</v>
      </c>
      <c r="C974" s="5" t="str">
        <f t="shared" ref="C974:C978" si="632">C973</f>
        <v>CH</v>
      </c>
      <c r="D974" t="s">
        <v>732</v>
      </c>
      <c r="E974" t="s">
        <v>8</v>
      </c>
      <c r="F974" s="1" cm="1">
        <f t="array" ref="F974">SUMPRODUCT(([1]OUT_FinalEnergyCons!$B$4:$B$10000="Var_Fin")*1,ISNUMBER(SEARCH("R*_ELC",[1]OUT_FinalEnergyCons!$C$4:$C$10000))*1, (ISNUMBER(SEARCH("RH*-SHELCHP",[1]OUT_FinalEnergyCons!$A$4:$A$10000)))*1,[1]OUT_FinalEnergyCons!D$4:D$10000)</f>
        <v>5.9563744415546793</v>
      </c>
      <c r="G974" s="1" cm="1">
        <f t="array" ref="G974">SUMPRODUCT(([1]OUT_FinalEnergyCons!$B$4:$B$10000="Var_Fin")*1,ISNUMBER(SEARCH("R*_ELC",[1]OUT_FinalEnergyCons!$C$4:$C$10000))*1, (ISNUMBER(SEARCH("RH*-SHELCHP",[1]OUT_FinalEnergyCons!$A$4:$A$10000)))*1,[1]OUT_FinalEnergyCons!E$4:E$10000)</f>
        <v>6.7840497992553122</v>
      </c>
      <c r="H974" s="1" cm="1">
        <f t="array" ref="H974">SUMPRODUCT(([1]OUT_FinalEnergyCons!$B$4:$B$10000="Var_Fin")*1,ISNUMBER(SEARCH("R*_ELC",[1]OUT_FinalEnergyCons!$C$4:$C$10000))*1, (ISNUMBER(SEARCH("RH*-SHELCHP",[1]OUT_FinalEnergyCons!$A$4:$A$10000)))*1,[1]OUT_FinalEnergyCons!F$4:F$10000)</f>
        <v>10.465254838392731</v>
      </c>
      <c r="I974" s="1" cm="1">
        <f t="array" ref="I974">SUMPRODUCT(([1]OUT_FinalEnergyCons!$B$4:$B$10000="Var_Fin")*1,ISNUMBER(SEARCH("R*_ELC",[1]OUT_FinalEnergyCons!$C$4:$C$10000))*1, (ISNUMBER(SEARCH("RH*-SHELCHP",[1]OUT_FinalEnergyCons!$A$4:$A$10000)))*1,[1]OUT_FinalEnergyCons!G$4:G$10000)</f>
        <v>12.38187308716536</v>
      </c>
      <c r="J974" s="1" cm="1">
        <f t="array" ref="J974">SUMPRODUCT(([1]OUT_FinalEnergyCons!$B$4:$B$10000="Var_Fin")*1,ISNUMBER(SEARCH("R*_ELC",[1]OUT_FinalEnergyCons!$C$4:$C$10000))*1, (ISNUMBER(SEARCH("RH*-SHELCHP",[1]OUT_FinalEnergyCons!$A$4:$A$10000)))*1,[1]OUT_FinalEnergyCons!H$4:H$10000)</f>
        <v>13.875344766966796</v>
      </c>
      <c r="K974" s="1" cm="1">
        <f t="array" ref="K974">SUMPRODUCT(([1]OUT_FinalEnergyCons!$B$4:$B$10000="Var_Fin")*1,ISNUMBER(SEARCH("R*_ELC",[1]OUT_FinalEnergyCons!$C$4:$C$10000))*1, (ISNUMBER(SEARCH("RH*-SHELCHP",[1]OUT_FinalEnergyCons!$A$4:$A$10000)))*1,[1]OUT_FinalEnergyCons!I$4:I$10000)</f>
        <v>14.54408749472139</v>
      </c>
    </row>
    <row r="975" spans="2:11" x14ac:dyDescent="0.35">
      <c r="B975" s="5" t="str">
        <f t="shared" si="619"/>
        <v>SPS4</v>
      </c>
      <c r="C975" s="5" t="str">
        <f t="shared" si="632"/>
        <v>CH</v>
      </c>
      <c r="D975" t="s">
        <v>1003</v>
      </c>
      <c r="E975" t="s">
        <v>8</v>
      </c>
      <c r="F975" s="1">
        <f>SUM(F976:F977)</f>
        <v>9.5599597738212605</v>
      </c>
      <c r="G975" s="1">
        <f t="shared" ref="G975:K975" si="633">SUM(G976:G977)</f>
        <v>10.085322079851043</v>
      </c>
      <c r="H975" s="1">
        <f t="shared" si="633"/>
        <v>8.579745615744292</v>
      </c>
      <c r="I975" s="1">
        <f t="shared" si="633"/>
        <v>8.0261605384287673</v>
      </c>
      <c r="J975" s="1">
        <f t="shared" si="633"/>
        <v>8.3384753873108064</v>
      </c>
      <c r="K975" s="1">
        <f t="shared" si="633"/>
        <v>8.7791123600079271</v>
      </c>
    </row>
    <row r="976" spans="2:11" x14ac:dyDescent="0.35">
      <c r="B976" s="5" t="str">
        <f t="shared" si="619"/>
        <v>SPS4</v>
      </c>
      <c r="C976" s="5" t="str">
        <f t="shared" si="632"/>
        <v>CH</v>
      </c>
      <c r="D976" t="s">
        <v>763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(ISNUMBER(SEARCH("RH*-wHELCBR",[1]OUT_FinalEnergyCons!$A$4:$A$10000)))*1,[1]OUT_FinalEnergyCons!D$4:D$10000)</f>
        <v>8.4110492734805504</v>
      </c>
      <c r="G976" s="1" cm="1">
        <f t="array" ref="G976">SUMPRODUCT(([1]OUT_FinalEnergyCons!$B$4:$B$10000="Var_Fin")*1,ISNUMBER(SEARCH("R*_ELC",[1]OUT_FinalEnergyCons!$C$4:$C$10000))*1, (ISNUMBER(SEARCH("RH*-wHELCBR",[1]OUT_FinalEnergyCons!$A$4:$A$10000)))*1,[1]OUT_FinalEnergyCons!E$4:E$10000)</f>
        <v>8.7988811173873902</v>
      </c>
      <c r="H976" s="1" cm="1">
        <f t="array" ref="H976">SUMPRODUCT(([1]OUT_FinalEnergyCons!$B$4:$B$10000="Var_Fin")*1,ISNUMBER(SEARCH("R*_ELC",[1]OUT_FinalEnergyCons!$C$4:$C$10000))*1, (ISNUMBER(SEARCH("RH*-wHELCBR",[1]OUT_FinalEnergyCons!$A$4:$A$10000)))*1,[1]OUT_FinalEnergyCons!F$4:F$10000)</f>
        <v>6.0580128061052489</v>
      </c>
      <c r="I976" s="1" cm="1">
        <f t="array" ref="I976">SUMPRODUCT(([1]OUT_FinalEnergyCons!$B$4:$B$10000="Var_Fin")*1,ISNUMBER(SEARCH("R*_ELC",[1]OUT_FinalEnergyCons!$C$4:$C$10000))*1, (ISNUMBER(SEARCH("RH*-wHELCBR",[1]OUT_FinalEnergyCons!$A$4:$A$10000)))*1,[1]OUT_FinalEnergyCons!G$4:G$10000)</f>
        <v>4.6223945173381562</v>
      </c>
      <c r="J976" s="1" cm="1">
        <f t="array" ref="J976">SUMPRODUCT(([1]OUT_FinalEnergyCons!$B$4:$B$10000="Var_Fin")*1,ISNUMBER(SEARCH("R*_ELC",[1]OUT_FinalEnergyCons!$C$4:$C$10000))*1, (ISNUMBER(SEARCH("RH*-wHELCBR",[1]OUT_FinalEnergyCons!$A$4:$A$10000)))*1,[1]OUT_FinalEnergyCons!H$4:H$10000)</f>
        <v>3.7544345070832801</v>
      </c>
      <c r="K976" s="1" cm="1">
        <f t="array" ref="K976">SUMPRODUCT(([1]OUT_FinalEnergyCons!$B$4:$B$10000="Var_Fin")*1,ISNUMBER(SEARCH("R*_ELC",[1]OUT_FinalEnergyCons!$C$4:$C$10000))*1, (ISNUMBER(SEARCH("RH*-wHELCBR",[1]OUT_FinalEnergyCons!$A$4:$A$10000)))*1,[1]OUT_FinalEnergyCons!I$4:I$10000)</f>
        <v>3.2832737227471021</v>
      </c>
    </row>
    <row r="977" spans="2:11" x14ac:dyDescent="0.35">
      <c r="B977" s="5" t="str">
        <f t="shared" si="619"/>
        <v>SPS4</v>
      </c>
      <c r="C977" s="5" t="str">
        <f t="shared" si="632"/>
        <v>CH</v>
      </c>
      <c r="D977" t="s">
        <v>733</v>
      </c>
      <c r="E977" t="s">
        <v>8</v>
      </c>
      <c r="F977" s="1" cm="1">
        <f t="array" ref="F977">SUMPRODUCT(([1]OUT_FinalEnergyCons!$B$4:$B$10000="Var_Fin")*1,ISNUMBER(SEARCH("R*_ELC",[1]OUT_FinalEnergyCons!$C$4:$C$10000))*1, (ISNUMBER(SEARCH("RH*-wHELCHP",[1]OUT_FinalEnergyCons!$A$4:$A$10000)))*1,[1]OUT_FinalEnergyCons!D$4:D$10000)</f>
        <v>1.1489105003407094</v>
      </c>
      <c r="G977" s="1" cm="1">
        <f t="array" ref="G977">SUMPRODUCT(([1]OUT_FinalEnergyCons!$B$4:$B$10000="Var_Fin")*1,ISNUMBER(SEARCH("R*_ELC",[1]OUT_FinalEnergyCons!$C$4:$C$10000))*1, (ISNUMBER(SEARCH("RH*-wHELCHP",[1]OUT_FinalEnergyCons!$A$4:$A$10000)))*1,[1]OUT_FinalEnergyCons!E$4:E$10000)</f>
        <v>1.2864409624636535</v>
      </c>
      <c r="H977" s="1" cm="1">
        <f t="array" ref="H977">SUMPRODUCT(([1]OUT_FinalEnergyCons!$B$4:$B$10000="Var_Fin")*1,ISNUMBER(SEARCH("R*_ELC",[1]OUT_FinalEnergyCons!$C$4:$C$10000))*1, (ISNUMBER(SEARCH("RH*-wHELCHP",[1]OUT_FinalEnergyCons!$A$4:$A$10000)))*1,[1]OUT_FinalEnergyCons!F$4:F$10000)</f>
        <v>2.5217328096390434</v>
      </c>
      <c r="I977" s="1" cm="1">
        <f t="array" ref="I977">SUMPRODUCT(([1]OUT_FinalEnergyCons!$B$4:$B$10000="Var_Fin")*1,ISNUMBER(SEARCH("R*_ELC",[1]OUT_FinalEnergyCons!$C$4:$C$10000))*1, (ISNUMBER(SEARCH("RH*-wHELCHP",[1]OUT_FinalEnergyCons!$A$4:$A$10000)))*1,[1]OUT_FinalEnergyCons!G$4:G$10000)</f>
        <v>3.4037660210906107</v>
      </c>
      <c r="J977" s="1" cm="1">
        <f t="array" ref="J977">SUMPRODUCT(([1]OUT_FinalEnergyCons!$B$4:$B$10000="Var_Fin")*1,ISNUMBER(SEARCH("R*_ELC",[1]OUT_FinalEnergyCons!$C$4:$C$10000))*1, (ISNUMBER(SEARCH("RH*-wHELCHP",[1]OUT_FinalEnergyCons!$A$4:$A$10000)))*1,[1]OUT_FinalEnergyCons!H$4:H$10000)</f>
        <v>4.5840408802275263</v>
      </c>
      <c r="K977" s="1" cm="1">
        <f t="array" ref="K977">SUMPRODUCT(([1]OUT_FinalEnergyCons!$B$4:$B$10000="Var_Fin")*1,ISNUMBER(SEARCH("R*_ELC",[1]OUT_FinalEnergyCons!$C$4:$C$10000))*1, (ISNUMBER(SEARCH("RH*-wHELCHP",[1]OUT_FinalEnergyCons!$A$4:$A$10000)))*1,[1]OUT_FinalEnergyCons!I$4:I$10000)</f>
        <v>5.4958386372608254</v>
      </c>
    </row>
    <row r="978" spans="2:11" x14ac:dyDescent="0.35">
      <c r="B978" s="5" t="str">
        <f t="shared" si="619"/>
        <v>SPS4</v>
      </c>
      <c r="C978" s="5" t="str">
        <f t="shared" si="632"/>
        <v>CH</v>
      </c>
      <c r="D978" t="s">
        <v>1004</v>
      </c>
      <c r="E978" t="s">
        <v>8</v>
      </c>
      <c r="F978" s="1">
        <f>[1]Residential!B$3-([1]Residential!B$10-[1]Residential!B$244)</f>
        <v>44.576906092797657</v>
      </c>
      <c r="G978" s="1">
        <f>[1]Residential!C$3-([1]Residential!C$10-[1]Residential!C$244)</f>
        <v>44.861183007589794</v>
      </c>
      <c r="H978" s="1">
        <f>[1]Residential!D$3-([1]Residential!D$10-[1]Residential!D$244)</f>
        <v>49.523420615002273</v>
      </c>
      <c r="I978" s="1">
        <f>[1]Residential!E$3-([1]Residential!E$10-[1]Residential!E$244)</f>
        <v>50.016880955871351</v>
      </c>
      <c r="J978" s="1">
        <f>[1]Residential!F$3-([1]Residential!F$10-[1]Residential!F$244)</f>
        <v>50.540472034830387</v>
      </c>
      <c r="K978" s="1">
        <f>[1]Residential!G$3-([1]Residential!G$10-[1]Residential!G$244)</f>
        <v>50.053439145735688</v>
      </c>
    </row>
    <row r="979" spans="2:11" x14ac:dyDescent="0.35">
      <c r="B979" s="5" t="str">
        <f t="shared" si="619"/>
        <v>SPS4</v>
      </c>
      <c r="C979" s="5" t="str">
        <f>C978</f>
        <v>CH</v>
      </c>
      <c r="D979" t="s">
        <v>676</v>
      </c>
      <c r="E979" t="s">
        <v>8</v>
      </c>
      <c r="F979" s="1">
        <f>SUM([1]Residential!B$16:B$17)</f>
        <v>60.231879074642173</v>
      </c>
      <c r="G979" s="1">
        <f>SUM([1]Residential!C$16:C$17)</f>
        <v>51.320047944755252</v>
      </c>
      <c r="H979" s="1">
        <f>SUM([1]Residential!D$16:D$17)</f>
        <v>49.882034941188017</v>
      </c>
      <c r="I979" s="1">
        <f>SUM([1]Residential!E$16:E$17)</f>
        <v>32.475928095919251</v>
      </c>
      <c r="J979" s="1">
        <f>SUM([1]Residential!F$16:F$17)</f>
        <v>17.226167600773444</v>
      </c>
      <c r="K979" s="1">
        <f>SUM([1]Residential!G$16:G$17)</f>
        <v>5.7031752665550011</v>
      </c>
    </row>
    <row r="980" spans="2:11" x14ac:dyDescent="0.35">
      <c r="B980" s="5" t="str">
        <f t="shared" si="619"/>
        <v>SPS4</v>
      </c>
      <c r="C980" s="5" t="str">
        <f t="shared" ref="C980:C991" si="634">C979</f>
        <v>CH</v>
      </c>
      <c r="D980" t="s">
        <v>1005</v>
      </c>
      <c r="E980" t="s">
        <v>8</v>
      </c>
      <c r="F980" s="1">
        <f>[1]Residential!B$16</f>
        <v>60.231879074642173</v>
      </c>
      <c r="G980" s="1">
        <f>[1]Residential!C$16</f>
        <v>51.320047944755252</v>
      </c>
      <c r="H980" s="1">
        <f>[1]Residential!D$16</f>
        <v>49.881971628401168</v>
      </c>
      <c r="I980" s="1">
        <f>[1]Residential!E$16</f>
        <v>32.475742943248221</v>
      </c>
      <c r="J980" s="1">
        <f>[1]Residential!F$16</f>
        <v>17.225960488200162</v>
      </c>
      <c r="K980" s="1">
        <f>[1]Residential!G$16</f>
        <v>5.7030344262247938</v>
      </c>
    </row>
    <row r="981" spans="2:11" x14ac:dyDescent="0.35">
      <c r="B981" s="5" t="str">
        <f t="shared" si="619"/>
        <v>SPS4</v>
      </c>
      <c r="C981" s="5" t="str">
        <f t="shared" si="634"/>
        <v>CH</v>
      </c>
      <c r="D981" t="s">
        <v>1006</v>
      </c>
      <c r="E981" t="s">
        <v>8</v>
      </c>
      <c r="F981" s="1">
        <f>[1]Residential!B$17</f>
        <v>0</v>
      </c>
      <c r="G981" s="1">
        <f>[1]Residential!C$17</f>
        <v>0</v>
      </c>
      <c r="H981" s="1">
        <f>[1]Residential!D$17</f>
        <v>6.3312786850699797E-5</v>
      </c>
      <c r="I981" s="1">
        <f>[1]Residential!E$17</f>
        <v>1.8515267103120508E-4</v>
      </c>
      <c r="J981" s="1">
        <f>[1]Residential!F$17</f>
        <v>2.0711257328206488E-4</v>
      </c>
      <c r="K981" s="1">
        <f>[1]Residential!G$17</f>
        <v>1.4084033020694654E-4</v>
      </c>
    </row>
    <row r="982" spans="2:11" x14ac:dyDescent="0.35">
      <c r="B982" s="5" t="str">
        <f t="shared" si="619"/>
        <v>SPS4</v>
      </c>
      <c r="C982" s="5" t="str">
        <f t="shared" si="634"/>
        <v>CH</v>
      </c>
      <c r="D982" t="s">
        <v>1007</v>
      </c>
      <c r="E982" t="s">
        <v>8</v>
      </c>
      <c r="F982" s="1">
        <f>SUM(F984,F986)</f>
        <v>50.371453449787481</v>
      </c>
      <c r="G982" s="1">
        <f t="shared" ref="G982:K982" si="635">SUM(G984,G986)</f>
        <v>43.56365146705528</v>
      </c>
      <c r="H982" s="1">
        <f t="shared" si="635"/>
        <v>40.717614330038678</v>
      </c>
      <c r="I982" s="1">
        <f t="shared" si="635"/>
        <v>26.661559016898579</v>
      </c>
      <c r="J982" s="1">
        <f t="shared" si="635"/>
        <v>14.021952351319484</v>
      </c>
      <c r="K982" s="1">
        <f t="shared" si="635"/>
        <v>4.2404712751605889</v>
      </c>
    </row>
    <row r="983" spans="2:11" x14ac:dyDescent="0.35">
      <c r="B983" s="5" t="str">
        <f t="shared" si="619"/>
        <v>SPS4</v>
      </c>
      <c r="C983" s="5" t="str">
        <f t="shared" si="634"/>
        <v>CH</v>
      </c>
      <c r="D983" t="s">
        <v>708</v>
      </c>
      <c r="E983" t="s">
        <v>8</v>
      </c>
      <c r="F983" s="1" cm="1">
        <f t="array" ref="F983">SUMPRODUCT(([1]OUT_FinalEnergyCons!$B$4:$B$10000="Var_Fin")*1, ([1]OUT_FinalEnergyCons!$C$4:$C$10000="RLFO")*1,(ISNUMBER(SEARCH("RH*-SHLFOBR",[1]OUT_FinalEnergyCons!$A$4:$A$10000)))*1,[1]OUT_FinalEnergyCons!D$4:D$10000)</f>
        <v>50.371453449787481</v>
      </c>
      <c r="G983" s="1" cm="1">
        <f t="array" ref="G983">SUMPRODUCT(([1]OUT_FinalEnergyCons!$B$4:$B$10000="Var_Fin")*1, ([1]OUT_FinalEnergyCons!$C$4:$C$10000="RLFO")*1,(ISNUMBER(SEARCH("RH*-SHLFOBR",[1]OUT_FinalEnergyCons!$A$4:$A$10000)))*1,[1]OUT_FinalEnergyCons!E$4:E$10000)</f>
        <v>43.56365146705528</v>
      </c>
      <c r="H983" s="1" cm="1">
        <f t="array" ref="H983">SUMPRODUCT(([1]OUT_FinalEnergyCons!$B$4:$B$10000="Var_Fin")*1, ([1]OUT_FinalEnergyCons!$C$4:$C$10000="RLFO")*1,(ISNUMBER(SEARCH("RH*-SHLFOBR",[1]OUT_FinalEnergyCons!$A$4:$A$10000)))*1,[1]OUT_FinalEnergyCons!F$4:F$10000)</f>
        <v>40.717614330038678</v>
      </c>
      <c r="I983" s="1" cm="1">
        <f t="array" ref="I983">SUMPRODUCT(([1]OUT_FinalEnergyCons!$B$4:$B$10000="Var_Fin")*1, ([1]OUT_FinalEnergyCons!$C$4:$C$10000="RLFO")*1,(ISNUMBER(SEARCH("RH*-SHLFOBR",[1]OUT_FinalEnergyCons!$A$4:$A$10000)))*1,[1]OUT_FinalEnergyCons!G$4:G$10000)</f>
        <v>26.661559016898579</v>
      </c>
      <c r="J983" s="1" cm="1">
        <f t="array" ref="J983">SUMPRODUCT(([1]OUT_FinalEnergyCons!$B$4:$B$10000="Var_Fin")*1, ([1]OUT_FinalEnergyCons!$C$4:$C$10000="RLFO")*1,(ISNUMBER(SEARCH("RH*-SHLFOBR",[1]OUT_FinalEnergyCons!$A$4:$A$10000)))*1,[1]OUT_FinalEnergyCons!H$4:H$10000)</f>
        <v>14.021952351319484</v>
      </c>
      <c r="K983" s="1" cm="1">
        <f t="array" ref="K983">SUMPRODUCT(([1]OUT_FinalEnergyCons!$B$4:$B$10000="Var_Fin")*1, ([1]OUT_FinalEnergyCons!$C$4:$C$10000="RLFO")*1,(ISNUMBER(SEARCH("RH*-SHLFOBR",[1]OUT_FinalEnergyCons!$A$4:$A$10000)))*1,[1]OUT_FinalEnergyCons!I$4:I$10000)</f>
        <v>4.2404712751605889</v>
      </c>
    </row>
    <row r="984" spans="2:11" x14ac:dyDescent="0.35">
      <c r="B984" s="5" t="str">
        <f t="shared" si="619"/>
        <v>SPS4</v>
      </c>
      <c r="C984" s="5" t="str">
        <f t="shared" si="634"/>
        <v>CH</v>
      </c>
      <c r="D984" t="s">
        <v>1008</v>
      </c>
      <c r="E984" t="s">
        <v>8</v>
      </c>
      <c r="F984" s="1">
        <f>F985</f>
        <v>50.371453449787481</v>
      </c>
      <c r="G984" s="1">
        <f t="shared" ref="G984:K984" si="636">G985</f>
        <v>43.56365146705528</v>
      </c>
      <c r="H984" s="1">
        <f t="shared" si="636"/>
        <v>40.717562649195266</v>
      </c>
      <c r="I984" s="1">
        <f t="shared" si="636"/>
        <v>26.661407013271422</v>
      </c>
      <c r="J984" s="1">
        <f t="shared" si="636"/>
        <v>14.021783763465168</v>
      </c>
      <c r="K984" s="1">
        <f t="shared" si="636"/>
        <v>4.2403665564123978</v>
      </c>
    </row>
    <row r="985" spans="2:11" x14ac:dyDescent="0.35">
      <c r="B985" s="5" t="str">
        <f t="shared" si="619"/>
        <v>SPS4</v>
      </c>
      <c r="C985" s="5" t="str">
        <f t="shared" si="634"/>
        <v>CH</v>
      </c>
      <c r="D985" t="s">
        <v>709</v>
      </c>
      <c r="E985" t="s">
        <v>8</v>
      </c>
      <c r="F985" s="1">
        <f>F983*IFERROR(F980/F979,0)</f>
        <v>50.371453449787481</v>
      </c>
      <c r="G985" s="1">
        <f t="shared" ref="G985:K985" si="637">G983*IFERROR(G980/G979,0)</f>
        <v>43.56365146705528</v>
      </c>
      <c r="H985" s="1">
        <f t="shared" si="637"/>
        <v>40.717562649195266</v>
      </c>
      <c r="I985" s="1">
        <f t="shared" si="637"/>
        <v>26.661407013271422</v>
      </c>
      <c r="J985" s="1">
        <f t="shared" si="637"/>
        <v>14.021783763465168</v>
      </c>
      <c r="K985" s="1">
        <f t="shared" si="637"/>
        <v>4.2403665564123978</v>
      </c>
    </row>
    <row r="986" spans="2:11" x14ac:dyDescent="0.35">
      <c r="B986" s="5" t="str">
        <f t="shared" si="619"/>
        <v>SPS4</v>
      </c>
      <c r="C986" s="5" t="str">
        <f t="shared" si="634"/>
        <v>CH</v>
      </c>
      <c r="D986" t="s">
        <v>1009</v>
      </c>
      <c r="E986" t="s">
        <v>8</v>
      </c>
      <c r="F986" s="1">
        <f>F987</f>
        <v>0</v>
      </c>
      <c r="G986" s="1">
        <f t="shared" ref="G986:K986" si="638">G987</f>
        <v>0</v>
      </c>
      <c r="H986" s="1">
        <f t="shared" si="638"/>
        <v>5.1680843412782451E-5</v>
      </c>
      <c r="I986" s="1">
        <f t="shared" si="638"/>
        <v>1.5200362715717119E-4</v>
      </c>
      <c r="J986" s="1">
        <f t="shared" si="638"/>
        <v>1.6858785431672629E-4</v>
      </c>
      <c r="K986" s="1">
        <f t="shared" si="638"/>
        <v>1.047187481910683E-4</v>
      </c>
    </row>
    <row r="987" spans="2:11" x14ac:dyDescent="0.35">
      <c r="B987" s="5" t="str">
        <f t="shared" si="619"/>
        <v>SPS4</v>
      </c>
      <c r="C987" s="5" t="str">
        <f t="shared" si="634"/>
        <v>CH</v>
      </c>
      <c r="D987" t="s">
        <v>710</v>
      </c>
      <c r="E987" t="s">
        <v>8</v>
      </c>
      <c r="F987" s="1">
        <f>F983-F985</f>
        <v>0</v>
      </c>
      <c r="G987" s="1">
        <f t="shared" ref="G987:K987" si="639">G983-G985</f>
        <v>0</v>
      </c>
      <c r="H987" s="1">
        <f t="shared" si="639"/>
        <v>5.1680843412782451E-5</v>
      </c>
      <c r="I987" s="1">
        <f t="shared" si="639"/>
        <v>1.5200362715717119E-4</v>
      </c>
      <c r="J987" s="1">
        <f t="shared" si="639"/>
        <v>1.6858785431672629E-4</v>
      </c>
      <c r="K987" s="1">
        <f t="shared" si="639"/>
        <v>1.047187481910683E-4</v>
      </c>
    </row>
    <row r="988" spans="2:11" x14ac:dyDescent="0.35">
      <c r="B988" s="5" t="str">
        <f t="shared" si="619"/>
        <v>SPS4</v>
      </c>
      <c r="C988" s="5" t="str">
        <f t="shared" si="634"/>
        <v>CH</v>
      </c>
      <c r="D988" t="s">
        <v>1010</v>
      </c>
      <c r="E988" t="s">
        <v>8</v>
      </c>
      <c r="F988" s="1">
        <f>F989</f>
        <v>9.86042562485469</v>
      </c>
      <c r="G988" s="1">
        <f t="shared" ref="G988:K988" si="640">G989</f>
        <v>7.7563964776999708</v>
      </c>
      <c r="H988" s="1">
        <f t="shared" si="640"/>
        <v>9.1644206111493407</v>
      </c>
      <c r="I988" s="1">
        <f t="shared" si="640"/>
        <v>5.814369079020663</v>
      </c>
      <c r="J988" s="1">
        <f t="shared" si="640"/>
        <v>3.2042152494539629</v>
      </c>
      <c r="K988" s="1">
        <f t="shared" si="640"/>
        <v>1.4627039913944113</v>
      </c>
    </row>
    <row r="989" spans="2:11" x14ac:dyDescent="0.35">
      <c r="B989" s="5" t="str">
        <f t="shared" si="619"/>
        <v>SPS4</v>
      </c>
      <c r="C989" s="5" t="str">
        <f t="shared" si="634"/>
        <v>CH</v>
      </c>
      <c r="D989" t="s">
        <v>711</v>
      </c>
      <c r="E989" t="s">
        <v>8</v>
      </c>
      <c r="F989" s="1" cm="1">
        <f t="array" ref="F989">SUMPRODUCT(([1]OUT_FinalEnergyCons!$B$4:$B$10000="Var_Fin")*1, ([1]OUT_FinalEnergyCons!$C$4:$C$10000="RLFO")*1,(ISNUMBER(SEARCH("RH*-wHLFOBR",[1]OUT_FinalEnergyCons!$A$4:$A$10000)))*1,[1]OUT_FinalEnergyCons!D$4:D$10000)</f>
        <v>9.86042562485469</v>
      </c>
      <c r="G989" s="1" cm="1">
        <f t="array" ref="G989">SUMPRODUCT(([1]OUT_FinalEnergyCons!$B$4:$B$10000="Var_Fin")*1, ([1]OUT_FinalEnergyCons!$C$4:$C$10000="RLFO")*1,(ISNUMBER(SEARCH("RH*-wHLFOBR",[1]OUT_FinalEnergyCons!$A$4:$A$10000)))*1,[1]OUT_FinalEnergyCons!E$4:E$10000)</f>
        <v>7.7563964776999708</v>
      </c>
      <c r="H989" s="1" cm="1">
        <f t="array" ref="H989">SUMPRODUCT(([1]OUT_FinalEnergyCons!$B$4:$B$10000="Var_Fin")*1, ([1]OUT_FinalEnergyCons!$C$4:$C$10000="RLFO")*1,(ISNUMBER(SEARCH("RH*-wHLFOBR",[1]OUT_FinalEnergyCons!$A$4:$A$10000)))*1,[1]OUT_FinalEnergyCons!F$4:F$10000)</f>
        <v>9.1644206111493407</v>
      </c>
      <c r="I989" s="1" cm="1">
        <f t="array" ref="I989">SUMPRODUCT(([1]OUT_FinalEnergyCons!$B$4:$B$10000="Var_Fin")*1, ([1]OUT_FinalEnergyCons!$C$4:$C$10000="RLFO")*1,(ISNUMBER(SEARCH("RH*-wHLFOBR",[1]OUT_FinalEnergyCons!$A$4:$A$10000)))*1,[1]OUT_FinalEnergyCons!G$4:G$10000)</f>
        <v>5.814369079020663</v>
      </c>
      <c r="J989" s="1" cm="1">
        <f t="array" ref="J989">SUMPRODUCT(([1]OUT_FinalEnergyCons!$B$4:$B$10000="Var_Fin")*1, ([1]OUT_FinalEnergyCons!$C$4:$C$10000="RLFO")*1,(ISNUMBER(SEARCH("RH*-wHLFOBR",[1]OUT_FinalEnergyCons!$A$4:$A$10000)))*1,[1]OUT_FinalEnergyCons!H$4:H$10000)</f>
        <v>3.2042152494539629</v>
      </c>
      <c r="K989" s="1" cm="1">
        <f t="array" ref="K989">SUMPRODUCT(([1]OUT_FinalEnergyCons!$B$4:$B$10000="Var_Fin")*1, ([1]OUT_FinalEnergyCons!$C$4:$C$10000="RLFO")*1,(ISNUMBER(SEARCH("RH*-wHLFOBR",[1]OUT_FinalEnergyCons!$A$4:$A$10000)))*1,[1]OUT_FinalEnergyCons!I$4:I$10000)</f>
        <v>1.4627039913944113</v>
      </c>
    </row>
    <row r="990" spans="2:11" x14ac:dyDescent="0.35">
      <c r="B990" s="5" t="str">
        <f t="shared" si="619"/>
        <v>SPS4</v>
      </c>
      <c r="C990" s="5" t="str">
        <f t="shared" si="634"/>
        <v>CH</v>
      </c>
      <c r="D990" t="s">
        <v>712</v>
      </c>
      <c r="E990" t="s">
        <v>8</v>
      </c>
      <c r="F990" s="1">
        <f>IFERROR(F980/F979,0)*F989</f>
        <v>9.86042562485469</v>
      </c>
      <c r="G990" s="1">
        <f t="shared" ref="G990:K990" si="641">IFERROR(G980/G979,0)*G989</f>
        <v>7.7563964776999708</v>
      </c>
      <c r="H990" s="1">
        <f t="shared" si="641"/>
        <v>9.1644089792059074</v>
      </c>
      <c r="I990" s="1">
        <f t="shared" si="641"/>
        <v>5.8143359299767878</v>
      </c>
      <c r="J990" s="1">
        <f t="shared" si="641"/>
        <v>3.2041767247349977</v>
      </c>
      <c r="K990" s="1">
        <f t="shared" si="641"/>
        <v>1.4626678698123952</v>
      </c>
    </row>
    <row r="991" spans="2:11" x14ac:dyDescent="0.35">
      <c r="B991" s="5" t="str">
        <f t="shared" si="619"/>
        <v>SPS4</v>
      </c>
      <c r="C991" s="5" t="str">
        <f t="shared" si="634"/>
        <v>CH</v>
      </c>
      <c r="D991" t="s">
        <v>713</v>
      </c>
      <c r="E991" t="s">
        <v>8</v>
      </c>
      <c r="F991" s="1">
        <f>F989-F990</f>
        <v>0</v>
      </c>
      <c r="G991" s="1">
        <f t="shared" ref="G991:K991" si="642">G989-G990</f>
        <v>0</v>
      </c>
      <c r="H991" s="1">
        <f t="shared" si="642"/>
        <v>1.1631943433343395E-5</v>
      </c>
      <c r="I991" s="1">
        <f t="shared" si="642"/>
        <v>3.3149043875191353E-5</v>
      </c>
      <c r="J991" s="1">
        <f t="shared" si="642"/>
        <v>3.8524718965149418E-5</v>
      </c>
      <c r="K991" s="1">
        <f t="shared" si="642"/>
        <v>3.6121582016157561E-5</v>
      </c>
    </row>
    <row r="992" spans="2:11" x14ac:dyDescent="0.35">
      <c r="B992" s="5" t="str">
        <f t="shared" si="619"/>
        <v>SPS4</v>
      </c>
      <c r="C992" s="5" t="str">
        <f>C991</f>
        <v>CH</v>
      </c>
      <c r="D992" t="s">
        <v>677</v>
      </c>
      <c r="E992" t="s">
        <v>8</v>
      </c>
      <c r="F992" s="1">
        <f>SUM(F993:F994)</f>
        <v>47.001948653035988</v>
      </c>
      <c r="G992" s="1">
        <f t="shared" ref="G992:K992" si="643">SUM(G993:G994)</f>
        <v>48.265663879541563</v>
      </c>
      <c r="H992" s="1">
        <f t="shared" si="643"/>
        <v>48.502624794859372</v>
      </c>
      <c r="I992" s="1">
        <f t="shared" si="643"/>
        <v>43.9413317261778</v>
      </c>
      <c r="J992" s="1">
        <f t="shared" si="643"/>
        <v>33.306526037283646</v>
      </c>
      <c r="K992" s="1">
        <f t="shared" si="643"/>
        <v>24.55939268543554</v>
      </c>
    </row>
    <row r="993" spans="2:13" x14ac:dyDescent="0.35">
      <c r="B993" s="5" t="str">
        <f t="shared" si="619"/>
        <v>SPS4</v>
      </c>
      <c r="C993" s="5" t="str">
        <f t="shared" ref="C993:C1053" si="644">C992</f>
        <v>CH</v>
      </c>
      <c r="D993" t="s">
        <v>1011</v>
      </c>
      <c r="E993" t="s">
        <v>8</v>
      </c>
      <c r="F993" s="1">
        <f>[1]Residential!B$18</f>
        <v>46.69194068383193</v>
      </c>
      <c r="G993" s="1">
        <f>[1]Residential!C$18</f>
        <v>46.177573990375485</v>
      </c>
      <c r="H993" s="1">
        <f>[1]Residential!D$18</f>
        <v>47.318336250305755</v>
      </c>
      <c r="I993" s="1">
        <f>[1]Residential!E$18</f>
        <v>43.940668075731089</v>
      </c>
      <c r="J993" s="1">
        <f>[1]Residential!F$18</f>
        <v>33.306414227076743</v>
      </c>
      <c r="K993" s="1">
        <f>[1]Residential!G$18</f>
        <v>24.559327173777</v>
      </c>
    </row>
    <row r="994" spans="2:13" x14ac:dyDescent="0.35">
      <c r="B994" s="5" t="str">
        <f t="shared" si="619"/>
        <v>SPS4</v>
      </c>
      <c r="C994" s="5" t="str">
        <f t="shared" si="644"/>
        <v>CH</v>
      </c>
      <c r="D994" t="s">
        <v>1012</v>
      </c>
      <c r="E994" t="s">
        <v>8</v>
      </c>
      <c r="F994" s="1">
        <f>[1]Residential!B$19</f>
        <v>0.31000796920405987</v>
      </c>
      <c r="G994" s="1">
        <f>[1]Residential!C$19</f>
        <v>2.0880898891660791</v>
      </c>
      <c r="H994" s="1">
        <f>[1]Residential!D$19</f>
        <v>1.1842885445536204</v>
      </c>
      <c r="I994" s="1">
        <f>[1]Residential!E$19</f>
        <v>6.6365044671112502E-4</v>
      </c>
      <c r="J994" s="1">
        <f>[1]Residential!F$19</f>
        <v>1.1181020690205902E-4</v>
      </c>
      <c r="K994" s="1">
        <f>[1]Residential!G$19</f>
        <v>6.551165854121054E-5</v>
      </c>
    </row>
    <row r="995" spans="2:13" x14ac:dyDescent="0.35">
      <c r="B995" s="5" t="str">
        <f t="shared" si="619"/>
        <v>SPS4</v>
      </c>
      <c r="C995" s="5" t="str">
        <f t="shared" si="644"/>
        <v>CH</v>
      </c>
      <c r="D995" t="s">
        <v>1013</v>
      </c>
      <c r="E995" t="s">
        <v>8</v>
      </c>
      <c r="F995" s="1">
        <f>SUM(F996:F997)</f>
        <v>38.494666897654419</v>
      </c>
      <c r="G995" s="1">
        <f t="shared" ref="G995:K995" si="645">SUM(G996:G997)</f>
        <v>40.916557070665235</v>
      </c>
      <c r="H995" s="1">
        <f t="shared" si="645"/>
        <v>37.810301455890624</v>
      </c>
      <c r="I995" s="1">
        <f t="shared" si="645"/>
        <v>34.820256909178731</v>
      </c>
      <c r="J995" s="1">
        <f t="shared" si="645"/>
        <v>26.099766074238502</v>
      </c>
      <c r="K995" s="1">
        <f t="shared" si="645"/>
        <v>18.709721309824243</v>
      </c>
    </row>
    <row r="996" spans="2:13" x14ac:dyDescent="0.35">
      <c r="B996" s="5" t="str">
        <f t="shared" si="619"/>
        <v>SPS4</v>
      </c>
      <c r="C996" s="5" t="str">
        <f t="shared" si="644"/>
        <v>CH</v>
      </c>
      <c r="D996" t="s">
        <v>714</v>
      </c>
      <c r="E996" t="s">
        <v>8</v>
      </c>
      <c r="F996" s="1" cm="1">
        <f t="array" ref="F996">SUMPRODUCT(([1]OUT_FinalEnergyCons!$B$4:$B$10000="Var_Fin")*1,([1]OUT_FinalEnergyCons!$C$4:$C$10000="RNGA")*1, (ISNUMBER(SEARCH("RH*-SHNGABR",[1]OUT_FinalEnergyCons!$A$4:$A$10000)))*1,[1]OUT_FinalEnergyCons!D$4:D$10000)</f>
        <v>38.494666897654419</v>
      </c>
      <c r="G996" s="1" cm="1">
        <f t="array" ref="G996">SUMPRODUCT(([1]OUT_FinalEnergyCons!$B$4:$B$10000="Var_Fin")*1,([1]OUT_FinalEnergyCons!$C$4:$C$10000="RNGA")*1, (ISNUMBER(SEARCH("RH*-SHNGABR",[1]OUT_FinalEnergyCons!$A$4:$A$10000)))*1,[1]OUT_FinalEnergyCons!E$4:E$10000)</f>
        <v>40.916557070665235</v>
      </c>
      <c r="H996" s="1" cm="1">
        <f t="array" ref="H996">SUMPRODUCT(([1]OUT_FinalEnergyCons!$B$4:$B$10000="Var_Fin")*1,([1]OUT_FinalEnergyCons!$C$4:$C$10000="RNGA")*1, (ISNUMBER(SEARCH("RH*-SHNGABR",[1]OUT_FinalEnergyCons!$A$4:$A$10000)))*1,[1]OUT_FinalEnergyCons!F$4:F$10000)</f>
        <v>35.401992575563533</v>
      </c>
      <c r="I996" s="1" cm="1">
        <f t="array" ref="I996">SUMPRODUCT(([1]OUT_FinalEnergyCons!$B$4:$B$10000="Var_Fin")*1,([1]OUT_FinalEnergyCons!$C$4:$C$10000="RNGA")*1, (ISNUMBER(SEARCH("RH*-SHNGABR",[1]OUT_FinalEnergyCons!$A$4:$A$10000)))*1,[1]OUT_FinalEnergyCons!G$4:G$10000)</f>
        <v>29.826445177320423</v>
      </c>
      <c r="J996" s="1" cm="1">
        <f t="array" ref="J996">SUMPRODUCT(([1]OUT_FinalEnergyCons!$B$4:$B$10000="Var_Fin")*1,([1]OUT_FinalEnergyCons!$C$4:$C$10000="RNGA")*1, (ISNUMBER(SEARCH("RH*-SHNGABR",[1]OUT_FinalEnergyCons!$A$4:$A$10000)))*1,[1]OUT_FinalEnergyCons!H$4:H$10000)</f>
        <v>18.244017818594315</v>
      </c>
      <c r="K996" s="1" cm="1">
        <f t="array" ref="K996">SUMPRODUCT(([1]OUT_FinalEnergyCons!$B$4:$B$10000="Var_Fin")*1,([1]OUT_FinalEnergyCons!$C$4:$C$10000="RNGA")*1, (ISNUMBER(SEARCH("RH*-SHNGABR",[1]OUT_FinalEnergyCons!$A$4:$A$10000)))*1,[1]OUT_FinalEnergyCons!I$4:I$10000)</f>
        <v>8.6342168022215624</v>
      </c>
    </row>
    <row r="997" spans="2:13" x14ac:dyDescent="0.35">
      <c r="B997" s="5" t="str">
        <f t="shared" si="619"/>
        <v>SPS4</v>
      </c>
      <c r="C997" s="5" t="str">
        <f t="shared" si="644"/>
        <v>CH</v>
      </c>
      <c r="D997" t="s">
        <v>715</v>
      </c>
      <c r="E997" t="s">
        <v>8</v>
      </c>
      <c r="F997" s="1" cm="1">
        <f t="array" ref="F997">SUMPRODUCT(([1]OUT_FinalEnergyCons!$B$4:$B$10000="Var_Fin")*1, ([1]OUT_FinalEnergyCons!$C$4:$C$10000="RNGA")*1,ISNUMBER(SEARCH("RH*-SHngahp",[1]OUT_FinalEnergyCons!$A$4:$A$10000))*1,[1]OUT_FinalEnergyCons!D$4:D$10000)</f>
        <v>0</v>
      </c>
      <c r="G997" s="1" cm="1">
        <f t="array" ref="G997">SUMPRODUCT(([1]OUT_FinalEnergyCons!$B$4:$B$10000="Var_Fin")*1, ([1]OUT_FinalEnergyCons!$C$4:$C$10000="RNGA")*1,ISNUMBER(SEARCH("RH*-SHngahp",[1]OUT_FinalEnergyCons!$A$4:$A$10000))*1,[1]OUT_FinalEnergyCons!E$4:E$10000)</f>
        <v>0</v>
      </c>
      <c r="H997" s="1" cm="1">
        <f t="array" ref="H997">SUMPRODUCT(([1]OUT_FinalEnergyCons!$B$4:$B$10000="Var_Fin")*1, ([1]OUT_FinalEnergyCons!$C$4:$C$10000="RNGA")*1,ISNUMBER(SEARCH("RH*-SHngahp",[1]OUT_FinalEnergyCons!$A$4:$A$10000))*1,[1]OUT_FinalEnergyCons!F$4:F$10000)</f>
        <v>2.4083088803270911</v>
      </c>
      <c r="I997" s="1" cm="1">
        <f t="array" ref="I997">SUMPRODUCT(([1]OUT_FinalEnergyCons!$B$4:$B$10000="Var_Fin")*1, ([1]OUT_FinalEnergyCons!$C$4:$C$10000="RNGA")*1,ISNUMBER(SEARCH("RH*-SHngahp",[1]OUT_FinalEnergyCons!$A$4:$A$10000))*1,[1]OUT_FinalEnergyCons!G$4:G$10000)</f>
        <v>4.9938117318583064</v>
      </c>
      <c r="J997" s="1" cm="1">
        <f t="array" ref="J997">SUMPRODUCT(([1]OUT_FinalEnergyCons!$B$4:$B$10000="Var_Fin")*1, ([1]OUT_FinalEnergyCons!$C$4:$C$10000="RNGA")*1,ISNUMBER(SEARCH("RH*-SHngahp",[1]OUT_FinalEnergyCons!$A$4:$A$10000))*1,[1]OUT_FinalEnergyCons!H$4:H$10000)</f>
        <v>7.8557482556441869</v>
      </c>
      <c r="K997" s="1" cm="1">
        <f t="array" ref="K997">SUMPRODUCT(([1]OUT_FinalEnergyCons!$B$4:$B$10000="Var_Fin")*1, ([1]OUT_FinalEnergyCons!$C$4:$C$10000="RNGA")*1,ISNUMBER(SEARCH("RH*-SHngahp",[1]OUT_FinalEnergyCons!$A$4:$A$10000))*1,[1]OUT_FinalEnergyCons!I$4:I$10000)</f>
        <v>10.07550450760268</v>
      </c>
    </row>
    <row r="998" spans="2:13" x14ac:dyDescent="0.35">
      <c r="B998" s="5" t="str">
        <f t="shared" si="619"/>
        <v>SPS4</v>
      </c>
      <c r="C998" s="5" t="str">
        <f t="shared" si="644"/>
        <v>CH</v>
      </c>
      <c r="D998" t="s">
        <v>1014</v>
      </c>
      <c r="E998" t="s">
        <v>8</v>
      </c>
      <c r="F998" s="1">
        <f>SUM(F999:F1000)</f>
        <v>38.240769902910188</v>
      </c>
      <c r="G998" s="1">
        <f t="shared" ref="G998:K998" si="646">SUM(G999:G1000)</f>
        <v>39.146407397970947</v>
      </c>
      <c r="H998" s="1">
        <f t="shared" si="646"/>
        <v>36.887087360370657</v>
      </c>
      <c r="I998" s="1">
        <f t="shared" si="646"/>
        <v>34.819731015261894</v>
      </c>
      <c r="J998" s="1">
        <f t="shared" si="646"/>
        <v>26.099678457167855</v>
      </c>
      <c r="K998" s="1">
        <f t="shared" si="646"/>
        <v>18.709671402039895</v>
      </c>
    </row>
    <row r="999" spans="2:13" x14ac:dyDescent="0.35">
      <c r="B999" s="5" t="str">
        <f t="shared" si="619"/>
        <v>SPS4</v>
      </c>
      <c r="C999" s="5" t="str">
        <f t="shared" si="644"/>
        <v>CH</v>
      </c>
      <c r="D999" t="s">
        <v>716</v>
      </c>
      <c r="E999" t="s">
        <v>8</v>
      </c>
      <c r="F999" s="1">
        <f>F996-F1002</f>
        <v>38.240769902910188</v>
      </c>
      <c r="G999" s="1">
        <f t="shared" ref="G999:K999" si="647">G996-G1002</f>
        <v>39.146407397970947</v>
      </c>
      <c r="H999" s="1">
        <f t="shared" si="647"/>
        <v>34.53758215573702</v>
      </c>
      <c r="I999" s="1">
        <f t="shared" si="647"/>
        <v>29.825994705455141</v>
      </c>
      <c r="J999" s="1">
        <f t="shared" si="647"/>
        <v>18.243956573317497</v>
      </c>
      <c r="K999" s="1">
        <f t="shared" si="647"/>
        <v>8.6341937706315655</v>
      </c>
    </row>
    <row r="1000" spans="2:13" x14ac:dyDescent="0.35">
      <c r="B1000" s="5" t="str">
        <f t="shared" si="619"/>
        <v>SPS4</v>
      </c>
      <c r="C1000" s="5" t="str">
        <f t="shared" si="644"/>
        <v>CH</v>
      </c>
      <c r="D1000" t="s">
        <v>734</v>
      </c>
      <c r="E1000" t="s">
        <v>8</v>
      </c>
      <c r="F1000" s="1">
        <f>F997-F1003</f>
        <v>0</v>
      </c>
      <c r="G1000" s="1">
        <f t="shared" ref="G1000:K1000" si="648">G997-G1003</f>
        <v>0</v>
      </c>
      <c r="H1000" s="1">
        <f t="shared" si="648"/>
        <v>2.3495052046336382</v>
      </c>
      <c r="I1000" s="1">
        <f t="shared" si="648"/>
        <v>4.9937363098067564</v>
      </c>
      <c r="J1000" s="1">
        <f t="shared" si="648"/>
        <v>7.8557218838503573</v>
      </c>
      <c r="K1000" s="1">
        <f t="shared" si="648"/>
        <v>10.075477631408331</v>
      </c>
    </row>
    <row r="1001" spans="2:13" x14ac:dyDescent="0.35">
      <c r="B1001" s="5" t="str">
        <f t="shared" si="619"/>
        <v>SPS4</v>
      </c>
      <c r="C1001" s="5" t="str">
        <f t="shared" si="644"/>
        <v>CH</v>
      </c>
      <c r="D1001" t="s">
        <v>1015</v>
      </c>
      <c r="E1001" t="s">
        <v>8</v>
      </c>
      <c r="F1001" s="1">
        <f>SUM(F1002:F1003)</f>
        <v>0.25389699474423316</v>
      </c>
      <c r="G1001" s="1">
        <f t="shared" ref="G1001:K1001" si="649">SUM(G1002:G1003)</f>
        <v>1.7701496726942858</v>
      </c>
      <c r="H1001" s="1">
        <f t="shared" si="649"/>
        <v>0.92321409551996536</v>
      </c>
      <c r="I1001" s="1">
        <f t="shared" si="649"/>
        <v>5.2589391683379165E-4</v>
      </c>
      <c r="J1001" s="1">
        <f t="shared" si="649"/>
        <v>8.7617070648234629E-5</v>
      </c>
      <c r="K1001" s="1">
        <f t="shared" si="649"/>
        <v>4.9907784347505309E-5</v>
      </c>
      <c r="L1001" s="1"/>
    </row>
    <row r="1002" spans="2:13" x14ac:dyDescent="0.35">
      <c r="B1002" s="5" t="str">
        <f t="shared" si="619"/>
        <v>SPS4</v>
      </c>
      <c r="C1002" s="5" t="str">
        <f t="shared" si="644"/>
        <v>CH</v>
      </c>
      <c r="D1002" t="s">
        <v>717</v>
      </c>
      <c r="E1002" t="s">
        <v>8</v>
      </c>
      <c r="F1002" s="1">
        <f>F996*IFERROR(F$994/F$992,0)</f>
        <v>0.25389699474423316</v>
      </c>
      <c r="G1002" s="1">
        <f t="shared" ref="G1002:K1002" si="650">G996*IFERROR(G994/G992,0)</f>
        <v>1.7701496726942858</v>
      </c>
      <c r="H1002" s="1">
        <f t="shared" si="650"/>
        <v>0.86441041982651268</v>
      </c>
      <c r="I1002" s="1">
        <f t="shared" si="650"/>
        <v>4.5047186528352791E-4</v>
      </c>
      <c r="J1002" s="1">
        <f t="shared" si="650"/>
        <v>6.124527681867615E-5</v>
      </c>
      <c r="K1002" s="1">
        <f t="shared" si="650"/>
        <v>2.3031589997474345E-5</v>
      </c>
    </row>
    <row r="1003" spans="2:13" x14ac:dyDescent="0.35">
      <c r="B1003" s="5" t="str">
        <f t="shared" si="619"/>
        <v>SPS4</v>
      </c>
      <c r="C1003" s="5" t="str">
        <f t="shared" si="644"/>
        <v>CH</v>
      </c>
      <c r="D1003" t="s">
        <v>735</v>
      </c>
      <c r="E1003" t="s">
        <v>8</v>
      </c>
      <c r="F1003" s="1">
        <f>F997*IFERROR(F$994/F$992,0)</f>
        <v>0</v>
      </c>
      <c r="G1003" s="1">
        <f t="shared" ref="G1003:K1003" si="651">G997*IFERROR(G$994/G$992,0)</f>
        <v>0</v>
      </c>
      <c r="H1003" s="1">
        <f t="shared" si="651"/>
        <v>5.8803675693452732E-2</v>
      </c>
      <c r="I1003" s="1">
        <f t="shared" si="651"/>
        <v>7.5422051550263743E-5</v>
      </c>
      <c r="J1003" s="1">
        <f t="shared" si="651"/>
        <v>2.6371793829558479E-5</v>
      </c>
      <c r="K1003" s="1">
        <f t="shared" si="651"/>
        <v>2.6876194350030964E-5</v>
      </c>
    </row>
    <row r="1004" spans="2:13" x14ac:dyDescent="0.35">
      <c r="B1004" s="5" t="str">
        <f t="shared" si="619"/>
        <v>SPS4</v>
      </c>
      <c r="C1004" s="5" t="str">
        <f t="shared" si="644"/>
        <v>CH</v>
      </c>
      <c r="D1004" t="s">
        <v>1016</v>
      </c>
      <c r="E1004" t="s">
        <v>8</v>
      </c>
      <c r="F1004" s="1">
        <f>SUM(F1005:F1006)</f>
        <v>8.5072817553815696</v>
      </c>
      <c r="G1004" s="1">
        <f t="shared" ref="G1004:K1004" si="652">SUM(G1005:G1006)</f>
        <v>7.3491068088763285</v>
      </c>
      <c r="H1004" s="1">
        <f t="shared" si="652"/>
        <v>10.692323338968748</v>
      </c>
      <c r="I1004" s="1">
        <f t="shared" si="652"/>
        <v>9.1210748169990712</v>
      </c>
      <c r="J1004" s="1">
        <f t="shared" si="652"/>
        <v>7.206759963045144</v>
      </c>
      <c r="K1004" s="1">
        <f t="shared" si="652"/>
        <v>5.8496713756112975</v>
      </c>
      <c r="L1004" s="1"/>
      <c r="M1004" s="19"/>
    </row>
    <row r="1005" spans="2:13" x14ac:dyDescent="0.35">
      <c r="B1005" s="5" t="str">
        <f t="shared" si="619"/>
        <v>SPS4</v>
      </c>
      <c r="C1005" s="5" t="str">
        <f t="shared" si="644"/>
        <v>CH</v>
      </c>
      <c r="D1005" t="s">
        <v>719</v>
      </c>
      <c r="E1005" t="s">
        <v>8</v>
      </c>
      <c r="F1005" s="1">
        <f>F992-F996-F997-F1006</f>
        <v>8.5072817553815696</v>
      </c>
      <c r="G1005" s="1">
        <f t="shared" ref="G1005:K1005" si="653">G992-G996-G997-G1006</f>
        <v>7.3491068088763285</v>
      </c>
      <c r="H1005" s="1">
        <f t="shared" si="653"/>
        <v>10.239976924609129</v>
      </c>
      <c r="I1005" s="1">
        <f t="shared" si="653"/>
        <v>8.096917299444355</v>
      </c>
      <c r="J1005" s="1">
        <f t="shared" si="653"/>
        <v>5.3993949909869583</v>
      </c>
      <c r="K1005" s="1">
        <f t="shared" si="653"/>
        <v>3.4059246592629608</v>
      </c>
    </row>
    <row r="1006" spans="2:13" x14ac:dyDescent="0.35">
      <c r="B1006" s="5" t="str">
        <f t="shared" si="619"/>
        <v>SPS4</v>
      </c>
      <c r="C1006" s="5" t="str">
        <f t="shared" si="644"/>
        <v>CH</v>
      </c>
      <c r="D1006" t="s">
        <v>736</v>
      </c>
      <c r="E1006" t="s">
        <v>8</v>
      </c>
      <c r="F1006" s="1" cm="1">
        <f t="array" ref="F1006">SUMPRODUCT(([1]OUT_FinalEnergyCons!$B$4:$B$10000="Var_Fin")*1, ([1]OUT_FinalEnergyCons!$C$4:$C$10000="RNGA")*1,ISNUMBER(SEARCH("RH*-wHngahp",[1]OUT_FinalEnergyCons!$A$4:$A$10000))*1,[1]OUT_FinalEnergyCons!D$4:D$10000)</f>
        <v>0</v>
      </c>
      <c r="G1006" s="1" cm="1">
        <f t="array" ref="G1006">SUMPRODUCT(([1]OUT_FinalEnergyCons!$B$4:$B$10000="Var_Fin")*1, ([1]OUT_FinalEnergyCons!$C$4:$C$10000="RNGA")*1,ISNUMBER(SEARCH("RH*-wHngahp",[1]OUT_FinalEnergyCons!$A$4:$A$10000))*1,[1]OUT_FinalEnergyCons!E$4:E$10000)</f>
        <v>0</v>
      </c>
      <c r="H1006" s="1" cm="1">
        <f t="array" ref="H1006">SUMPRODUCT(([1]OUT_FinalEnergyCons!$B$4:$B$10000="Var_Fin")*1, ([1]OUT_FinalEnergyCons!$C$4:$C$10000="RNGA")*1,ISNUMBER(SEARCH("RH*-wHngahp",[1]OUT_FinalEnergyCons!$A$4:$A$10000))*1,[1]OUT_FinalEnergyCons!F$4:F$10000)</f>
        <v>0.45234641435961892</v>
      </c>
      <c r="I1006" s="1" cm="1">
        <f t="array" ref="I1006">SUMPRODUCT(([1]OUT_FinalEnergyCons!$B$4:$B$10000="Var_Fin")*1, ([1]OUT_FinalEnergyCons!$C$4:$C$10000="RNGA")*1,ISNUMBER(SEARCH("RH*-wHngahp",[1]OUT_FinalEnergyCons!$A$4:$A$10000))*1,[1]OUT_FinalEnergyCons!G$4:G$10000)</f>
        <v>1.0241575175547155</v>
      </c>
      <c r="J1006" s="1" cm="1">
        <f t="array" ref="J1006">SUMPRODUCT(([1]OUT_FinalEnergyCons!$B$4:$B$10000="Var_Fin")*1, ([1]OUT_FinalEnergyCons!$C$4:$C$10000="RNGA")*1,ISNUMBER(SEARCH("RH*-wHngahp",[1]OUT_FinalEnergyCons!$A$4:$A$10000))*1,[1]OUT_FinalEnergyCons!H$4:H$10000)</f>
        <v>1.8073649720581859</v>
      </c>
      <c r="K1006" s="1" cm="1">
        <f t="array" ref="K1006">SUMPRODUCT(([1]OUT_FinalEnergyCons!$B$4:$B$10000="Var_Fin")*1, ([1]OUT_FinalEnergyCons!$C$4:$C$10000="RNGA")*1,ISNUMBER(SEARCH("RH*-wHngahp",[1]OUT_FinalEnergyCons!$A$4:$A$10000))*1,[1]OUT_FinalEnergyCons!I$4:I$10000)</f>
        <v>2.4437467163483366</v>
      </c>
    </row>
    <row r="1007" spans="2:13" x14ac:dyDescent="0.35">
      <c r="B1007" s="5" t="str">
        <f t="shared" si="619"/>
        <v>SPS4</v>
      </c>
      <c r="C1007" s="5" t="str">
        <f t="shared" si="644"/>
        <v>CH</v>
      </c>
      <c r="D1007" t="s">
        <v>1017</v>
      </c>
      <c r="E1007" t="s">
        <v>8</v>
      </c>
      <c r="F1007" s="1">
        <f>SUM(F1008:F1009)</f>
        <v>8.4511707809217427</v>
      </c>
      <c r="G1007" s="1">
        <f t="shared" ref="G1007:K1007" si="654">SUM(G1008:G1009)</f>
        <v>7.031166592404535</v>
      </c>
      <c r="H1007" s="1">
        <f t="shared" si="654"/>
        <v>10.431248889935093</v>
      </c>
      <c r="I1007" s="1">
        <f t="shared" si="654"/>
        <v>9.1209370604691919</v>
      </c>
      <c r="J1007" s="1">
        <f t="shared" si="654"/>
        <v>7.2067357699088905</v>
      </c>
      <c r="K1007" s="1">
        <f t="shared" si="654"/>
        <v>5.8496557717371038</v>
      </c>
    </row>
    <row r="1008" spans="2:13" x14ac:dyDescent="0.35">
      <c r="B1008" s="5" t="str">
        <f t="shared" si="619"/>
        <v>SPS4</v>
      </c>
      <c r="C1008" s="5" t="str">
        <f t="shared" si="644"/>
        <v>CH</v>
      </c>
      <c r="D1008" t="s">
        <v>718</v>
      </c>
      <c r="E1008" t="s">
        <v>8</v>
      </c>
      <c r="F1008" s="1">
        <f>F1005-F1011</f>
        <v>8.4511707809217427</v>
      </c>
      <c r="G1008" s="1">
        <f t="shared" ref="G1008:K1008" si="655">G1005-G1011</f>
        <v>7.031166592404535</v>
      </c>
      <c r="H1008" s="1">
        <f t="shared" si="655"/>
        <v>9.9899474175546299</v>
      </c>
      <c r="I1008" s="1">
        <f t="shared" si="655"/>
        <v>8.0967950108706663</v>
      </c>
      <c r="J1008" s="1">
        <f t="shared" si="655"/>
        <v>5.3993768651857144</v>
      </c>
      <c r="K1008" s="1">
        <f t="shared" si="655"/>
        <v>3.4059155740312472</v>
      </c>
    </row>
    <row r="1009" spans="2:11" x14ac:dyDescent="0.35">
      <c r="B1009" s="5" t="str">
        <f t="shared" si="619"/>
        <v>SPS4</v>
      </c>
      <c r="C1009" s="5" t="str">
        <f t="shared" si="644"/>
        <v>CH</v>
      </c>
      <c r="D1009" t="s">
        <v>737</v>
      </c>
      <c r="E1009" t="s">
        <v>8</v>
      </c>
      <c r="F1009" s="1">
        <f>F1006-F1012</f>
        <v>0</v>
      </c>
      <c r="G1009" s="1">
        <f t="shared" ref="G1009:K1009" si="656">G1006-G1012</f>
        <v>0</v>
      </c>
      <c r="H1009" s="1">
        <f t="shared" si="656"/>
        <v>0.4413014723804628</v>
      </c>
      <c r="I1009" s="1">
        <f t="shared" si="656"/>
        <v>1.0241420495985265</v>
      </c>
      <c r="J1009" s="1">
        <f t="shared" si="656"/>
        <v>1.8073589047231764</v>
      </c>
      <c r="K1009" s="1">
        <f t="shared" si="656"/>
        <v>2.4437401977058566</v>
      </c>
    </row>
    <row r="1010" spans="2:11" x14ac:dyDescent="0.35">
      <c r="B1010" s="5" t="str">
        <f t="shared" si="619"/>
        <v>SPS4</v>
      </c>
      <c r="C1010" s="5" t="str">
        <f t="shared" si="644"/>
        <v>CH</v>
      </c>
      <c r="D1010" t="s">
        <v>1018</v>
      </c>
      <c r="E1010" t="s">
        <v>8</v>
      </c>
      <c r="F1010" s="1">
        <f t="shared" ref="F1010:K1010" si="657">SUM(F1011:F1012)</f>
        <v>5.611097445982674E-2</v>
      </c>
      <c r="G1010" s="1">
        <f t="shared" si="657"/>
        <v>0.3179402164717931</v>
      </c>
      <c r="H1010" s="1">
        <f t="shared" si="657"/>
        <v>0.26107444903365501</v>
      </c>
      <c r="I1010" s="1">
        <f t="shared" si="657"/>
        <v>1.3775652987733328E-4</v>
      </c>
      <c r="J1010" s="1">
        <f t="shared" si="657"/>
        <v>2.4193136253824386E-5</v>
      </c>
      <c r="K1010" s="1">
        <f t="shared" si="657"/>
        <v>1.5603874193705231E-5</v>
      </c>
    </row>
    <row r="1011" spans="2:11" x14ac:dyDescent="0.35">
      <c r="B1011" s="5" t="str">
        <f t="shared" si="619"/>
        <v>SPS4</v>
      </c>
      <c r="C1011" s="5" t="str">
        <f t="shared" si="644"/>
        <v>CH</v>
      </c>
      <c r="D1011" t="s">
        <v>738</v>
      </c>
      <c r="E1011" t="s">
        <v>8</v>
      </c>
      <c r="F1011" s="1">
        <f>F1005*IFERROR(F$994/F$992,0)</f>
        <v>5.611097445982674E-2</v>
      </c>
      <c r="G1011" s="1">
        <f t="shared" ref="G1011:K1011" si="658">G1005*IFERROR(G$994/G$992,0)</f>
        <v>0.3179402164717931</v>
      </c>
      <c r="H1011" s="1">
        <f t="shared" si="658"/>
        <v>0.25002950705449889</v>
      </c>
      <c r="I1011" s="1">
        <f t="shared" si="658"/>
        <v>1.2228857368831259E-4</v>
      </c>
      <c r="J1011" s="1">
        <f t="shared" si="658"/>
        <v>1.8125801244248558E-5</v>
      </c>
      <c r="K1011" s="1">
        <f t="shared" si="658"/>
        <v>9.0852317136915779E-6</v>
      </c>
    </row>
    <row r="1012" spans="2:11" x14ac:dyDescent="0.35">
      <c r="B1012" s="5" t="str">
        <f t="shared" ref="B1012:B1075" si="659">B1011</f>
        <v>SPS4</v>
      </c>
      <c r="C1012" s="5" t="str">
        <f t="shared" si="644"/>
        <v>CH</v>
      </c>
      <c r="D1012" t="s">
        <v>739</v>
      </c>
      <c r="E1012" t="s">
        <v>8</v>
      </c>
      <c r="F1012" s="1">
        <f>F1006*IFERROR(F$994/F$992,0)</f>
        <v>0</v>
      </c>
      <c r="G1012" s="1">
        <f t="shared" ref="G1012:K1012" si="660">G1006*IFERROR(G$994/G$992,0)</f>
        <v>0</v>
      </c>
      <c r="H1012" s="1">
        <f t="shared" si="660"/>
        <v>1.1044941979156146E-2</v>
      </c>
      <c r="I1012" s="1">
        <f t="shared" si="660"/>
        <v>1.5467956189020706E-5</v>
      </c>
      <c r="J1012" s="1">
        <f t="shared" si="660"/>
        <v>6.0673350095758263E-6</v>
      </c>
      <c r="K1012" s="1">
        <f t="shared" si="660"/>
        <v>6.5186424800136538E-6</v>
      </c>
    </row>
    <row r="1013" spans="2:11" x14ac:dyDescent="0.35">
      <c r="B1013" s="5" t="str">
        <f t="shared" si="659"/>
        <v>SPS4</v>
      </c>
      <c r="C1013" s="5" t="str">
        <f t="shared" si="644"/>
        <v>CH</v>
      </c>
      <c r="D1013" t="s">
        <v>1019</v>
      </c>
      <c r="E1013" t="s">
        <v>8</v>
      </c>
      <c r="F1013" s="1">
        <f>[1]Residential!B$20</f>
        <v>0.10000396397992256</v>
      </c>
      <c r="G1013" s="1">
        <f>[1]Residential!C$20</f>
        <v>0.10000261910647119</v>
      </c>
      <c r="H1013" s="1">
        <f>[1]Residential!D$20</f>
        <v>2.6955231934970274E-2</v>
      </c>
      <c r="I1013" s="1">
        <f>[1]Residential!E$20</f>
        <v>6.0623792834713728E-3</v>
      </c>
      <c r="J1013" s="1">
        <f>[1]Residential!F$20</f>
        <v>0</v>
      </c>
      <c r="K1013" s="1">
        <f>[1]Residential!G$20</f>
        <v>0</v>
      </c>
    </row>
    <row r="1014" spans="2:11" x14ac:dyDescent="0.35">
      <c r="B1014" s="5" t="str">
        <f t="shared" si="659"/>
        <v>SPS4</v>
      </c>
      <c r="C1014" s="5" t="str">
        <f t="shared" si="644"/>
        <v>CH</v>
      </c>
      <c r="D1014" t="s">
        <v>1020</v>
      </c>
      <c r="E1014" t="s">
        <v>8</v>
      </c>
      <c r="F1014" s="1">
        <f>F1013</f>
        <v>0.10000396397992256</v>
      </c>
      <c r="G1014" s="1">
        <f t="shared" ref="G1014:G1015" si="661">G1013</f>
        <v>0.10000261910647119</v>
      </c>
      <c r="H1014" s="1">
        <f t="shared" ref="H1014:H1015" si="662">H1013</f>
        <v>2.6955231934970274E-2</v>
      </c>
      <c r="I1014" s="1">
        <f t="shared" ref="I1014:I1015" si="663">I1013</f>
        <v>6.0623792834713728E-3</v>
      </c>
      <c r="J1014" s="1">
        <f t="shared" ref="J1014:J1015" si="664">J1013</f>
        <v>0</v>
      </c>
      <c r="K1014" s="1">
        <f t="shared" ref="K1014:K1015" si="665">K1013</f>
        <v>0</v>
      </c>
    </row>
    <row r="1015" spans="2:11" x14ac:dyDescent="0.35">
      <c r="B1015" s="5" t="str">
        <f t="shared" si="659"/>
        <v>SPS4</v>
      </c>
      <c r="C1015" s="5" t="str">
        <f t="shared" si="644"/>
        <v>CH</v>
      </c>
      <c r="D1015" t="s">
        <v>764</v>
      </c>
      <c r="E1015" t="s">
        <v>8</v>
      </c>
      <c r="F1015" s="1">
        <f t="shared" ref="F1015" si="666">F1014</f>
        <v>0.10000396397992256</v>
      </c>
      <c r="G1015" s="1">
        <f t="shared" si="661"/>
        <v>0.10000261910647119</v>
      </c>
      <c r="H1015" s="1">
        <f t="shared" si="662"/>
        <v>2.6955231934970274E-2</v>
      </c>
      <c r="I1015" s="1">
        <f t="shared" si="663"/>
        <v>6.0623792834713728E-3</v>
      </c>
      <c r="J1015" s="1">
        <f t="shared" si="664"/>
        <v>0</v>
      </c>
      <c r="K1015" s="1">
        <f t="shared" si="665"/>
        <v>0</v>
      </c>
    </row>
    <row r="1016" spans="2:11" x14ac:dyDescent="0.35">
      <c r="B1016" s="5" t="str">
        <f t="shared" si="659"/>
        <v>SPS4</v>
      </c>
      <c r="C1016" s="5" t="str">
        <f t="shared" si="644"/>
        <v>CH</v>
      </c>
      <c r="D1016" t="s">
        <v>1021</v>
      </c>
      <c r="E1016" t="s">
        <v>8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</row>
    <row r="1017" spans="2:11" x14ac:dyDescent="0.35">
      <c r="B1017" s="5" t="str">
        <f t="shared" si="659"/>
        <v>SPS4</v>
      </c>
      <c r="C1017" s="5" t="str">
        <f t="shared" si="644"/>
        <v>CH</v>
      </c>
      <c r="D1017" t="s">
        <v>765</v>
      </c>
      <c r="E1017" t="s">
        <v>8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</row>
    <row r="1018" spans="2:11" x14ac:dyDescent="0.35">
      <c r="B1018" s="5" t="str">
        <f t="shared" si="659"/>
        <v>SPS4</v>
      </c>
      <c r="C1018" s="5" t="str">
        <f t="shared" si="644"/>
        <v>CH</v>
      </c>
      <c r="D1018" t="s">
        <v>1022</v>
      </c>
      <c r="E1018" t="s">
        <v>8</v>
      </c>
      <c r="F1018" s="1">
        <f>F1019+F1021</f>
        <v>13.723039856820726</v>
      </c>
      <c r="G1018" s="1">
        <f t="shared" ref="G1018:K1018" si="667">G1019+G1021</f>
        <v>13.964828468095646</v>
      </c>
      <c r="H1018" s="1">
        <f t="shared" si="667"/>
        <v>17.147548384431573</v>
      </c>
      <c r="I1018" s="1">
        <f t="shared" si="667"/>
        <v>16.240386070658801</v>
      </c>
      <c r="J1018" s="1">
        <f t="shared" si="667"/>
        <v>13.6440216574671</v>
      </c>
      <c r="K1018" s="1">
        <f t="shared" si="667"/>
        <v>11.293713801267415</v>
      </c>
    </row>
    <row r="1019" spans="2:11" x14ac:dyDescent="0.35">
      <c r="B1019" s="5" t="str">
        <f t="shared" si="659"/>
        <v>SPS4</v>
      </c>
      <c r="C1019" s="5" t="str">
        <f t="shared" si="644"/>
        <v>CH</v>
      </c>
      <c r="D1019" t="s">
        <v>1023</v>
      </c>
      <c r="E1019" t="s">
        <v>8</v>
      </c>
      <c r="F1019" s="1">
        <f>F1020</f>
        <v>12.68207420587796</v>
      </c>
      <c r="G1019" s="1">
        <f t="shared" ref="G1019:K1019" si="668">G1020</f>
        <v>12.770334905342283</v>
      </c>
      <c r="H1019" s="1">
        <f t="shared" si="668"/>
        <v>14.432099545324988</v>
      </c>
      <c r="I1019" s="1">
        <f t="shared" si="668"/>
        <v>13.397623598673261</v>
      </c>
      <c r="J1019" s="1">
        <f t="shared" si="668"/>
        <v>10.737423816619653</v>
      </c>
      <c r="K1019" s="1">
        <f t="shared" si="668"/>
        <v>8.3770859286986195</v>
      </c>
    </row>
    <row r="1020" spans="2:11" x14ac:dyDescent="0.35">
      <c r="B1020" s="5" t="str">
        <f t="shared" si="659"/>
        <v>SPS4</v>
      </c>
      <c r="C1020" s="5" t="str">
        <f t="shared" si="644"/>
        <v>CH</v>
      </c>
      <c r="D1020" t="s">
        <v>766</v>
      </c>
      <c r="E1020" t="s">
        <v>8</v>
      </c>
      <c r="F1020" s="1">
        <f>[1]Residential!B$22-F1022-F1023</f>
        <v>12.68207420587796</v>
      </c>
      <c r="G1020" s="1">
        <f>[1]Residential!C$22-G1022-G1023</f>
        <v>12.770334905342283</v>
      </c>
      <c r="H1020" s="1">
        <f>[1]Residential!D$22-H1022-H1023</f>
        <v>14.432099545324988</v>
      </c>
      <c r="I1020" s="1">
        <f>[1]Residential!E$22-I1022-I1023</f>
        <v>13.397623598673261</v>
      </c>
      <c r="J1020" s="1">
        <f>[1]Residential!F$22-J1022-J1023</f>
        <v>10.737423816619653</v>
      </c>
      <c r="K1020" s="1">
        <f>[1]Residential!G$22-K1022-K1023</f>
        <v>8.3770859286986195</v>
      </c>
    </row>
    <row r="1021" spans="2:11" x14ac:dyDescent="0.35">
      <c r="B1021" s="5" t="str">
        <f t="shared" si="659"/>
        <v>SPS4</v>
      </c>
      <c r="C1021" s="5" t="str">
        <f t="shared" si="644"/>
        <v>CH</v>
      </c>
      <c r="D1021" t="s">
        <v>1024</v>
      </c>
      <c r="E1021" t="s">
        <v>8</v>
      </c>
      <c r="F1021" s="1">
        <f>F1022</f>
        <v>1.0409656509427663</v>
      </c>
      <c r="G1021" s="1">
        <f t="shared" ref="G1021" si="669">G1022</f>
        <v>1.1944935627533635</v>
      </c>
      <c r="H1021" s="1">
        <f t="shared" ref="H1021" si="670">H1022</f>
        <v>2.715448839106585</v>
      </c>
      <c r="I1021" s="1">
        <f t="shared" ref="I1021" si="671">I1022</f>
        <v>2.8427624719855396</v>
      </c>
      <c r="J1021" s="1">
        <f t="shared" ref="J1021" si="672">J1022</f>
        <v>2.906597840847446</v>
      </c>
      <c r="K1021" s="1">
        <f t="shared" ref="K1021" si="673">K1022</f>
        <v>2.9166278725687969</v>
      </c>
    </row>
    <row r="1022" spans="2:11" x14ac:dyDescent="0.35">
      <c r="B1022" s="5" t="str">
        <f t="shared" si="659"/>
        <v>SPS4</v>
      </c>
      <c r="C1022" s="5" t="str">
        <f t="shared" si="644"/>
        <v>CH</v>
      </c>
      <c r="D1022" t="s">
        <v>767</v>
      </c>
      <c r="E1022" t="s">
        <v>8</v>
      </c>
      <c r="F1022" s="1" cm="1">
        <f t="array" ref="F1022">SUMPRODUCT(([1]OUT_FinalEnergyCons!$B$4:$B$10000="Var_Fin")*1, ISNUMBER(SEARCH("WOD",[1]OUT_FinalEnergyCons!$C$4:$C$10000))*1,(ISNUMBER(SEARCH("RH*-wHWODBR",[1]OUT_FinalEnergyCons!$A$4:$A$10000)))*1,[1]OUT_FinalEnergyCons!D$4:D$10000)</f>
        <v>1.0409656509427663</v>
      </c>
      <c r="G1022" s="1" cm="1">
        <f t="array" ref="G1022">SUMPRODUCT(([1]OUT_FinalEnergyCons!$B$4:$B$10000="Var_Fin")*1, ISNUMBER(SEARCH("WOD",[1]OUT_FinalEnergyCons!$C$4:$C$10000))*1,(ISNUMBER(SEARCH("RH*-wHWODBR",[1]OUT_FinalEnergyCons!$A$4:$A$10000)))*1,[1]OUT_FinalEnergyCons!E$4:E$10000)</f>
        <v>1.1944935627533635</v>
      </c>
      <c r="H1022" s="1" cm="1">
        <f t="array" ref="H1022">SUMPRODUCT(([1]OUT_FinalEnergyCons!$B$4:$B$10000="Var_Fin")*1, ISNUMBER(SEARCH("WOD",[1]OUT_FinalEnergyCons!$C$4:$C$10000))*1,(ISNUMBER(SEARCH("RH*-wHWODBR",[1]OUT_FinalEnergyCons!$A$4:$A$10000)))*1,[1]OUT_FinalEnergyCons!F$4:F$10000)</f>
        <v>2.715448839106585</v>
      </c>
      <c r="I1022" s="1" cm="1">
        <f t="array" ref="I1022">SUMPRODUCT(([1]OUT_FinalEnergyCons!$B$4:$B$10000="Var_Fin")*1, ISNUMBER(SEARCH("WOD",[1]OUT_FinalEnergyCons!$C$4:$C$10000))*1,(ISNUMBER(SEARCH("RH*-wHWODBR",[1]OUT_FinalEnergyCons!$A$4:$A$10000)))*1,[1]OUT_FinalEnergyCons!G$4:G$10000)</f>
        <v>2.8427624719855396</v>
      </c>
      <c r="J1022" s="1" cm="1">
        <f t="array" ref="J1022">SUMPRODUCT(([1]OUT_FinalEnergyCons!$B$4:$B$10000="Var_Fin")*1, ISNUMBER(SEARCH("WOD",[1]OUT_FinalEnergyCons!$C$4:$C$10000))*1,(ISNUMBER(SEARCH("RH*-wHWODBR",[1]OUT_FinalEnergyCons!$A$4:$A$10000)))*1,[1]OUT_FinalEnergyCons!H$4:H$10000)</f>
        <v>2.906597840847446</v>
      </c>
      <c r="K1022" s="1" cm="1">
        <f t="array" ref="K1022">SUMPRODUCT(([1]OUT_FinalEnergyCons!$B$4:$B$10000="Var_Fin")*1, ISNUMBER(SEARCH("WOD",[1]OUT_FinalEnergyCons!$C$4:$C$10000))*1,(ISNUMBER(SEARCH("RH*-wHWODBR",[1]OUT_FinalEnergyCons!$A$4:$A$10000)))*1,[1]OUT_FinalEnergyCons!I$4:I$10000)</f>
        <v>2.9166278725687969</v>
      </c>
    </row>
    <row r="1023" spans="2:11" x14ac:dyDescent="0.35">
      <c r="B1023" s="5" t="str">
        <f t="shared" si="659"/>
        <v>SPS4</v>
      </c>
      <c r="C1023" s="5" t="str">
        <f t="shared" si="644"/>
        <v>CH</v>
      </c>
      <c r="D1023" t="s">
        <v>1025</v>
      </c>
      <c r="E1023" t="s">
        <v>8</v>
      </c>
      <c r="F1023" s="1">
        <f>F1024+F1026</f>
        <v>3.2682509906960062</v>
      </c>
      <c r="G1023" s="1">
        <f t="shared" ref="G1023:K1023" si="674">G1024+G1026</f>
        <v>3.8320034359212278</v>
      </c>
      <c r="H1023" s="1">
        <f t="shared" si="674"/>
        <v>0.69144915015003228</v>
      </c>
      <c r="I1023" s="1">
        <f t="shared" si="674"/>
        <v>1.0934346280495757</v>
      </c>
      <c r="J1023" s="1">
        <f t="shared" si="674"/>
        <v>1.5591484699109524</v>
      </c>
      <c r="K1023" s="1">
        <f t="shared" si="674"/>
        <v>1.9232554986772783</v>
      </c>
    </row>
    <row r="1024" spans="2:11" x14ac:dyDescent="0.35">
      <c r="B1024" s="5" t="str">
        <f t="shared" si="659"/>
        <v>SPS4</v>
      </c>
      <c r="C1024" s="5" t="str">
        <f t="shared" si="644"/>
        <v>CH</v>
      </c>
      <c r="D1024" t="s">
        <v>1026</v>
      </c>
      <c r="E1024" t="s">
        <v>8</v>
      </c>
      <c r="F1024" s="1">
        <f>F1025</f>
        <v>2.9965635488626479</v>
      </c>
      <c r="G1024" s="1">
        <f t="shared" ref="G1024:K1024" si="675">G1025</f>
        <v>3.5202580797781278</v>
      </c>
      <c r="H1024" s="1">
        <f t="shared" si="675"/>
        <v>0.50355355254353584</v>
      </c>
      <c r="I1024" s="1">
        <f t="shared" si="675"/>
        <v>0.77911788200376919</v>
      </c>
      <c r="J1024" s="1">
        <f t="shared" si="675"/>
        <v>1.0618684552821009</v>
      </c>
      <c r="K1024" s="1">
        <f t="shared" si="675"/>
        <v>1.2643569394527527</v>
      </c>
    </row>
    <row r="1025" spans="2:11" x14ac:dyDescent="0.35">
      <c r="B1025" s="5" t="str">
        <f t="shared" si="659"/>
        <v>SPS4</v>
      </c>
      <c r="C1025" s="5" t="str">
        <f t="shared" si="644"/>
        <v>CH</v>
      </c>
      <c r="D1025" t="s">
        <v>768</v>
      </c>
      <c r="E1025" t="s">
        <v>8</v>
      </c>
      <c r="F1025" s="1" cm="1">
        <f t="array" ref="F1025">SUMPRODUCT(([1]OUT_FinalEnergyCons!$B$4:$B$10000="Var_Fin")*1, ISNUMBER(SEARCH("RPLT",[1]OUT_FinalEnergyCons!$C$4:$C$10000))*1,(ISNUMBER(SEARCH("RH*-SHPLTBR",[1]OUT_FinalEnergyCons!$A$4:$A$10000)))*1,[1]OUT_FinalEnergyCons!D$4:D$10000)</f>
        <v>2.9965635488626479</v>
      </c>
      <c r="G1025" s="1" cm="1">
        <f t="array" ref="G1025">SUMPRODUCT(([1]OUT_FinalEnergyCons!$B$4:$B$10000="Var_Fin")*1, ISNUMBER(SEARCH("RPLT",[1]OUT_FinalEnergyCons!$C$4:$C$10000))*1,(ISNUMBER(SEARCH("RH*-SHPLTBR",[1]OUT_FinalEnergyCons!$A$4:$A$10000)))*1,[1]OUT_FinalEnergyCons!E$4:E$10000)</f>
        <v>3.5202580797781278</v>
      </c>
      <c r="H1025" s="1" cm="1">
        <f t="array" ref="H1025">SUMPRODUCT(([1]OUT_FinalEnergyCons!$B$4:$B$10000="Var_Fin")*1, ISNUMBER(SEARCH("RPLT",[1]OUT_FinalEnergyCons!$C$4:$C$10000))*1,(ISNUMBER(SEARCH("RH*-SHPLTBR",[1]OUT_FinalEnergyCons!$A$4:$A$10000)))*1,[1]OUT_FinalEnergyCons!F$4:F$10000)</f>
        <v>0.50355355254353584</v>
      </c>
      <c r="I1025" s="1" cm="1">
        <f t="array" ref="I1025">SUMPRODUCT(([1]OUT_FinalEnergyCons!$B$4:$B$10000="Var_Fin")*1, ISNUMBER(SEARCH("RPLT",[1]OUT_FinalEnergyCons!$C$4:$C$10000))*1,(ISNUMBER(SEARCH("RH*-SHPLTBR",[1]OUT_FinalEnergyCons!$A$4:$A$10000)))*1,[1]OUT_FinalEnergyCons!G$4:G$10000)</f>
        <v>0.77911788200376919</v>
      </c>
      <c r="J1025" s="1" cm="1">
        <f t="array" ref="J1025">SUMPRODUCT(([1]OUT_FinalEnergyCons!$B$4:$B$10000="Var_Fin")*1, ISNUMBER(SEARCH("RPLT",[1]OUT_FinalEnergyCons!$C$4:$C$10000))*1,(ISNUMBER(SEARCH("RH*-SHPLTBR",[1]OUT_FinalEnergyCons!$A$4:$A$10000)))*1,[1]OUT_FinalEnergyCons!H$4:H$10000)</f>
        <v>1.0618684552821009</v>
      </c>
      <c r="K1025" s="1" cm="1">
        <f t="array" ref="K1025">SUMPRODUCT(([1]OUT_FinalEnergyCons!$B$4:$B$10000="Var_Fin")*1, ISNUMBER(SEARCH("RPLT",[1]OUT_FinalEnergyCons!$C$4:$C$10000))*1,(ISNUMBER(SEARCH("RH*-SHPLTBR",[1]OUT_FinalEnergyCons!$A$4:$A$10000)))*1,[1]OUT_FinalEnergyCons!I$4:I$10000)</f>
        <v>1.2643569394527527</v>
      </c>
    </row>
    <row r="1026" spans="2:11" x14ac:dyDescent="0.35">
      <c r="B1026" s="5" t="str">
        <f t="shared" si="659"/>
        <v>SPS4</v>
      </c>
      <c r="C1026" s="5" t="str">
        <f t="shared" si="644"/>
        <v>CH</v>
      </c>
      <c r="D1026" t="s">
        <v>1027</v>
      </c>
      <c r="E1026" t="s">
        <v>8</v>
      </c>
      <c r="F1026" s="1">
        <f>F1027</f>
        <v>0.27168744183335841</v>
      </c>
      <c r="G1026" s="1">
        <f t="shared" ref="G1026:K1026" si="676">G1027</f>
        <v>0.31174535614310006</v>
      </c>
      <c r="H1026" s="1">
        <f t="shared" si="676"/>
        <v>0.18789559760649643</v>
      </c>
      <c r="I1026" s="1">
        <f t="shared" si="676"/>
        <v>0.31431674604580639</v>
      </c>
      <c r="J1026" s="1">
        <f t="shared" si="676"/>
        <v>0.49728001462885135</v>
      </c>
      <c r="K1026" s="1">
        <f t="shared" si="676"/>
        <v>0.65889855922452567</v>
      </c>
    </row>
    <row r="1027" spans="2:11" x14ac:dyDescent="0.35">
      <c r="B1027" s="5" t="str">
        <f t="shared" si="659"/>
        <v>SPS4</v>
      </c>
      <c r="C1027" s="5" t="str">
        <f t="shared" si="644"/>
        <v>CH</v>
      </c>
      <c r="D1027" t="s">
        <v>769</v>
      </c>
      <c r="E1027" t="s">
        <v>8</v>
      </c>
      <c r="F1027" s="1" cm="1">
        <f t="array" ref="F1027">SUMPRODUCT(([1]OUT_FinalEnergyCons!$B$4:$B$10000="Var_Fin")*1, ISNUMBER(SEARCH("PLT",[1]OUT_FinalEnergyCons!$C$4:$C$10000))*1,(ISNUMBER(SEARCH("RH*-wHPLTBR",[1]OUT_FinalEnergyCons!$A$4:$A$10000)))*1,[1]OUT_FinalEnergyCons!D$4:D$10000)</f>
        <v>0.27168744183335841</v>
      </c>
      <c r="G1027" s="1" cm="1">
        <f t="array" ref="G1027">SUMPRODUCT(([1]OUT_FinalEnergyCons!$B$4:$B$10000="Var_Fin")*1, ISNUMBER(SEARCH("PLT",[1]OUT_FinalEnergyCons!$C$4:$C$10000))*1,(ISNUMBER(SEARCH("RH*-wHPLTBR",[1]OUT_FinalEnergyCons!$A$4:$A$10000)))*1,[1]OUT_FinalEnergyCons!E$4:E$10000)</f>
        <v>0.31174535614310006</v>
      </c>
      <c r="H1027" s="1" cm="1">
        <f t="array" ref="H1027">SUMPRODUCT(([1]OUT_FinalEnergyCons!$B$4:$B$10000="Var_Fin")*1, ISNUMBER(SEARCH("PLT",[1]OUT_FinalEnergyCons!$C$4:$C$10000))*1,(ISNUMBER(SEARCH("RH*-wHPLTBR",[1]OUT_FinalEnergyCons!$A$4:$A$10000)))*1,[1]OUT_FinalEnergyCons!F$4:F$10000)</f>
        <v>0.18789559760649643</v>
      </c>
      <c r="I1027" s="1" cm="1">
        <f t="array" ref="I1027">SUMPRODUCT(([1]OUT_FinalEnergyCons!$B$4:$B$10000="Var_Fin")*1, ISNUMBER(SEARCH("PLT",[1]OUT_FinalEnergyCons!$C$4:$C$10000))*1,(ISNUMBER(SEARCH("RH*-wHPLTBR",[1]OUT_FinalEnergyCons!$A$4:$A$10000)))*1,[1]OUT_FinalEnergyCons!G$4:G$10000)</f>
        <v>0.31431674604580639</v>
      </c>
      <c r="J1027" s="1" cm="1">
        <f t="array" ref="J1027">SUMPRODUCT(([1]OUT_FinalEnergyCons!$B$4:$B$10000="Var_Fin")*1, ISNUMBER(SEARCH("PLT",[1]OUT_FinalEnergyCons!$C$4:$C$10000))*1,(ISNUMBER(SEARCH("RH*-wHPLTBR",[1]OUT_FinalEnergyCons!$A$4:$A$10000)))*1,[1]OUT_FinalEnergyCons!H$4:H$10000)</f>
        <v>0.49728001462885135</v>
      </c>
      <c r="K1027" s="1" cm="1">
        <f t="array" ref="K1027">SUMPRODUCT(([1]OUT_FinalEnergyCons!$B$4:$B$10000="Var_Fin")*1, ISNUMBER(SEARCH("PLT",[1]OUT_FinalEnergyCons!$C$4:$C$10000))*1,(ISNUMBER(SEARCH("RH*-wHPLTBR",[1]OUT_FinalEnergyCons!$A$4:$A$10000)))*1,[1]OUT_FinalEnergyCons!I$4:I$10000)</f>
        <v>0.65889855922452567</v>
      </c>
    </row>
    <row r="1028" spans="2:11" x14ac:dyDescent="0.35">
      <c r="B1028" s="5" t="str">
        <f t="shared" si="659"/>
        <v>SPS4</v>
      </c>
      <c r="C1028" s="5" t="str">
        <f t="shared" si="644"/>
        <v>CH</v>
      </c>
      <c r="D1028" t="s">
        <v>1028</v>
      </c>
      <c r="E1028" t="s">
        <v>8</v>
      </c>
      <c r="F1028" s="1">
        <f>[1]Residential!B$23</f>
        <v>2.50683695875711</v>
      </c>
      <c r="G1028" s="1">
        <f>[1]Residential!C$23</f>
        <v>2.9281050087267779</v>
      </c>
      <c r="H1028" s="1">
        <f>[1]Residential!D$23</f>
        <v>0.93614405156521752</v>
      </c>
      <c r="I1028" s="1">
        <f>[1]Residential!E$23</f>
        <v>1.1108297580115554</v>
      </c>
      <c r="J1028" s="1">
        <f>[1]Residential!F$23</f>
        <v>1.3316248779468407</v>
      </c>
      <c r="K1028" s="1">
        <f>[1]Residential!G$23</f>
        <v>1.5416936729443544</v>
      </c>
    </row>
    <row r="1029" spans="2:11" x14ac:dyDescent="0.35">
      <c r="B1029" s="5" t="str">
        <f t="shared" si="659"/>
        <v>SPS4</v>
      </c>
      <c r="C1029" s="5" t="str">
        <f t="shared" si="644"/>
        <v>CH</v>
      </c>
      <c r="D1029" t="s">
        <v>1029</v>
      </c>
      <c r="E1029" t="s">
        <v>8</v>
      </c>
      <c r="F1029" s="1">
        <f>F1030</f>
        <v>0.78534893409725881</v>
      </c>
      <c r="G1029" s="1">
        <f t="shared" ref="G1029:K1029" si="677">G1030</f>
        <v>0.94134145998754382</v>
      </c>
      <c r="H1029" s="1">
        <f t="shared" si="677"/>
        <v>3.0984101604078024E-2</v>
      </c>
      <c r="I1029" s="1">
        <f t="shared" si="677"/>
        <v>3.6093124917392236E-2</v>
      </c>
      <c r="J1029" s="1">
        <f t="shared" si="677"/>
        <v>3.9819907622915693E-2</v>
      </c>
      <c r="K1029" s="1">
        <f t="shared" si="677"/>
        <v>4.1739859052982019E-2</v>
      </c>
    </row>
    <row r="1030" spans="2:11" x14ac:dyDescent="0.35">
      <c r="B1030" s="5" t="str">
        <f t="shared" si="659"/>
        <v>SPS4</v>
      </c>
      <c r="C1030" s="5" t="str">
        <f t="shared" si="644"/>
        <v>CH</v>
      </c>
      <c r="D1030" t="s">
        <v>742</v>
      </c>
      <c r="E1030" t="s">
        <v>8</v>
      </c>
      <c r="F1030" s="1" cm="1">
        <f t="array" ref="F1030">SUMPRODUCT(([1]OUT_FinalEnergyCons!$B$4:$B$10000="Var_Fin")*1, ("SOL"=[1]OUT_FinalEnergyCons!$C$4:$C$10000)*1,(ISNUMBER(SEARCH("RH*-SHSOLBR",[1]OUT_FinalEnergyCons!$A$4:$A$10000)))*1,[1]OUT_FinalEnergyCons!D$4:D$10000)</f>
        <v>0.78534893409725881</v>
      </c>
      <c r="G1030" s="1" cm="1">
        <f t="array" ref="G1030">SUMPRODUCT(([1]OUT_FinalEnergyCons!$B$4:$B$10000="Var_Fin")*1, ("SOL"=[1]OUT_FinalEnergyCons!$C$4:$C$10000)*1,(ISNUMBER(SEARCH("RH*-SHSOLBR",[1]OUT_FinalEnergyCons!$A$4:$A$10000)))*1,[1]OUT_FinalEnergyCons!E$4:E$10000)</f>
        <v>0.94134145998754382</v>
      </c>
      <c r="H1030" s="1" cm="1">
        <f t="array" ref="H1030">SUMPRODUCT(([1]OUT_FinalEnergyCons!$B$4:$B$10000="Var_Fin")*1, ("SOL"=[1]OUT_FinalEnergyCons!$C$4:$C$10000)*1,(ISNUMBER(SEARCH("RH*-SHSOLBR",[1]OUT_FinalEnergyCons!$A$4:$A$10000)))*1,[1]OUT_FinalEnergyCons!F$4:F$10000)</f>
        <v>3.0984101604078024E-2</v>
      </c>
      <c r="I1030" s="1" cm="1">
        <f t="array" ref="I1030">SUMPRODUCT(([1]OUT_FinalEnergyCons!$B$4:$B$10000="Var_Fin")*1, ("SOL"=[1]OUT_FinalEnergyCons!$C$4:$C$10000)*1,(ISNUMBER(SEARCH("RH*-SHSOLBR",[1]OUT_FinalEnergyCons!$A$4:$A$10000)))*1,[1]OUT_FinalEnergyCons!G$4:G$10000)</f>
        <v>3.6093124917392236E-2</v>
      </c>
      <c r="J1030" s="1" cm="1">
        <f t="array" ref="J1030">SUMPRODUCT(([1]OUT_FinalEnergyCons!$B$4:$B$10000="Var_Fin")*1, ("SOL"=[1]OUT_FinalEnergyCons!$C$4:$C$10000)*1,(ISNUMBER(SEARCH("RH*-SHSOLBR",[1]OUT_FinalEnergyCons!$A$4:$A$10000)))*1,[1]OUT_FinalEnergyCons!H$4:H$10000)</f>
        <v>3.9819907622915693E-2</v>
      </c>
      <c r="K1030" s="1" cm="1">
        <f t="array" ref="K1030">SUMPRODUCT(([1]OUT_FinalEnergyCons!$B$4:$B$10000="Var_Fin")*1, ("SOL"=[1]OUT_FinalEnergyCons!$C$4:$C$10000)*1,(ISNUMBER(SEARCH("RH*-SHSOLBR",[1]OUT_FinalEnergyCons!$A$4:$A$10000)))*1,[1]OUT_FinalEnergyCons!I$4:I$10000)</f>
        <v>4.1739859052982019E-2</v>
      </c>
    </row>
    <row r="1031" spans="2:11" x14ac:dyDescent="0.35">
      <c r="B1031" s="5" t="str">
        <f t="shared" si="659"/>
        <v>SPS4</v>
      </c>
      <c r="C1031" s="5" t="str">
        <f t="shared" si="644"/>
        <v>CH</v>
      </c>
      <c r="D1031" t="s">
        <v>1030</v>
      </c>
      <c r="E1031" t="s">
        <v>8</v>
      </c>
      <c r="F1031" s="1">
        <f>F1028-F1029</f>
        <v>1.7214880246598512</v>
      </c>
      <c r="G1031" s="1">
        <f t="shared" ref="G1031:K1031" si="678">G1028-G1029</f>
        <v>1.9867635487392341</v>
      </c>
      <c r="H1031" s="1">
        <f t="shared" si="678"/>
        <v>0.90515994996113947</v>
      </c>
      <c r="I1031" s="1">
        <f t="shared" si="678"/>
        <v>1.0747366330941632</v>
      </c>
      <c r="J1031" s="1">
        <f t="shared" si="678"/>
        <v>1.2918049703239249</v>
      </c>
      <c r="K1031" s="1">
        <f t="shared" si="678"/>
        <v>1.4999538138913724</v>
      </c>
    </row>
    <row r="1032" spans="2:11" x14ac:dyDescent="0.35">
      <c r="B1032" s="5" t="str">
        <f t="shared" si="659"/>
        <v>SPS4</v>
      </c>
      <c r="C1032" s="5" t="str">
        <f t="shared" si="644"/>
        <v>CH</v>
      </c>
      <c r="D1032" t="s">
        <v>743</v>
      </c>
      <c r="E1032" t="s">
        <v>8</v>
      </c>
      <c r="F1032" s="1">
        <f>F1031</f>
        <v>1.7214880246598512</v>
      </c>
      <c r="G1032" s="1">
        <f t="shared" ref="G1032:K1032" si="679">G1031</f>
        <v>1.9867635487392341</v>
      </c>
      <c r="H1032" s="1">
        <f t="shared" si="679"/>
        <v>0.90515994996113947</v>
      </c>
      <c r="I1032" s="1">
        <f t="shared" si="679"/>
        <v>1.0747366330941632</v>
      </c>
      <c r="J1032" s="1">
        <f t="shared" si="679"/>
        <v>1.2918049703239249</v>
      </c>
      <c r="K1032" s="1">
        <f t="shared" si="679"/>
        <v>1.4999538138913724</v>
      </c>
    </row>
    <row r="1033" spans="2:11" x14ac:dyDescent="0.35">
      <c r="B1033" s="5" t="str">
        <f t="shared" si="659"/>
        <v>SPS4</v>
      </c>
      <c r="C1033" s="5" t="str">
        <f t="shared" si="644"/>
        <v>CH</v>
      </c>
      <c r="D1033" t="s">
        <v>1031</v>
      </c>
      <c r="E1033" t="s">
        <v>8</v>
      </c>
      <c r="F1033" s="1">
        <f>[1]Residential!B$24</f>
        <v>0</v>
      </c>
      <c r="G1033" s="1">
        <f>[1]Residential!C$24</f>
        <v>0</v>
      </c>
      <c r="H1033" s="1">
        <f>[1]Residential!D$24</f>
        <v>0</v>
      </c>
      <c r="I1033" s="1">
        <f>[1]Residential!E$24</f>
        <v>0</v>
      </c>
      <c r="J1033" s="1">
        <f>[1]Residential!F$24</f>
        <v>0</v>
      </c>
      <c r="K1033" s="1">
        <f>[1]Residential!G$24</f>
        <v>0</v>
      </c>
    </row>
    <row r="1034" spans="2:11" x14ac:dyDescent="0.35">
      <c r="B1034" s="5" t="str">
        <f t="shared" si="659"/>
        <v>SPS4</v>
      </c>
      <c r="C1034" s="5" t="str">
        <f t="shared" si="644"/>
        <v>CH</v>
      </c>
      <c r="D1034" t="s">
        <v>745</v>
      </c>
      <c r="E1034" t="str">
        <f>E1033</f>
        <v>PJ/yr.</v>
      </c>
      <c r="F1034" s="1">
        <f>F1033-F1036-F1038</f>
        <v>0</v>
      </c>
      <c r="G1034" s="1">
        <f t="shared" ref="G1034:K1034" si="680">G1033-G1036-G1038</f>
        <v>0</v>
      </c>
      <c r="H1034" s="1">
        <f t="shared" si="680"/>
        <v>0</v>
      </c>
      <c r="I1034" s="1">
        <f t="shared" si="680"/>
        <v>0</v>
      </c>
      <c r="J1034" s="1">
        <f t="shared" si="680"/>
        <v>0</v>
      </c>
      <c r="K1034" s="1">
        <f t="shared" si="680"/>
        <v>0</v>
      </c>
    </row>
    <row r="1035" spans="2:11" x14ac:dyDescent="0.35">
      <c r="B1035" s="5" t="str">
        <f t="shared" si="659"/>
        <v>SPS4</v>
      </c>
      <c r="C1035" s="5" t="str">
        <f t="shared" si="644"/>
        <v>CH</v>
      </c>
      <c r="D1035" t="s">
        <v>744</v>
      </c>
      <c r="E1035" t="str">
        <f>E1034</f>
        <v>PJ/yr.</v>
      </c>
      <c r="F1035" s="1">
        <f>F1036+F1038</f>
        <v>0</v>
      </c>
      <c r="G1035" s="1">
        <f t="shared" ref="G1035:K1035" si="681">G1036+G1038</f>
        <v>0</v>
      </c>
      <c r="H1035" s="1">
        <f t="shared" si="681"/>
        <v>0</v>
      </c>
      <c r="I1035" s="1">
        <f t="shared" si="681"/>
        <v>0</v>
      </c>
      <c r="J1035" s="1">
        <f t="shared" si="681"/>
        <v>0</v>
      </c>
      <c r="K1035" s="1">
        <f t="shared" si="681"/>
        <v>0</v>
      </c>
    </row>
    <row r="1036" spans="2:11" x14ac:dyDescent="0.35">
      <c r="B1036" s="5" t="str">
        <f t="shared" si="659"/>
        <v>SPS4</v>
      </c>
      <c r="C1036" s="5" t="str">
        <f>C1033</f>
        <v>CH</v>
      </c>
      <c r="D1036" t="s">
        <v>1033</v>
      </c>
      <c r="E1036" t="s">
        <v>8</v>
      </c>
      <c r="F1036" s="1">
        <f>F1037</f>
        <v>0</v>
      </c>
      <c r="G1036" s="1">
        <f t="shared" ref="G1036:K1036" si="682">G1037</f>
        <v>0</v>
      </c>
      <c r="H1036" s="1">
        <f t="shared" si="682"/>
        <v>0</v>
      </c>
      <c r="I1036" s="1">
        <f t="shared" si="682"/>
        <v>0</v>
      </c>
      <c r="J1036" s="1">
        <f t="shared" si="682"/>
        <v>0</v>
      </c>
      <c r="K1036" s="1">
        <f t="shared" si="682"/>
        <v>0</v>
      </c>
    </row>
    <row r="1037" spans="2:11" x14ac:dyDescent="0.35">
      <c r="B1037" s="5" t="str">
        <f t="shared" si="659"/>
        <v>SPS4</v>
      </c>
      <c r="C1037" s="5" t="str">
        <f t="shared" si="644"/>
        <v>CH</v>
      </c>
      <c r="D1037" t="s">
        <v>1032</v>
      </c>
      <c r="E1037" t="s">
        <v>8</v>
      </c>
      <c r="F1037" s="1" cm="1">
        <f t="array" ref="F1037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7" s="1" cm="1">
        <f t="array" ref="G1037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7" s="1" cm="1">
        <f t="array" ref="H1037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7" s="1" cm="1">
        <f t="array" ref="I1037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7" s="1" cm="1">
        <f t="array" ref="J1037">SUMPRODUCT(([1]OUT_FinalEnergyCons!$B$4:$B$10000="Var_Fin")*1, ISNUMBER(SEARCH("RSH2",[1]OUT_FinalEnergyCons!$C$4:$C$10000))*1,(ISNUMBER(SEARCH("RH*-SHH2BR",[1]OUT_FinalEnergyCons!$A$4:$A$10000)))*1,[1]OUT_FinalEnergyCons!H$4:H$10000)</f>
        <v>0</v>
      </c>
      <c r="K1037" s="1" cm="1">
        <f t="array" ref="K1037">SUMPRODUCT(([1]OUT_FinalEnergyCons!$B$4:$B$10000="Var_Fin")*1, ISNUMBER(SEARCH("RSH2",[1]OUT_FinalEnergyCons!$C$4:$C$10000))*1,(ISNUMBER(SEARCH("RH*-SHH2BR",[1]OUT_FinalEnergyCons!$A$4:$A$10000)))*1,[1]OUT_FinalEnergyCons!I$4:I$10000)</f>
        <v>0</v>
      </c>
    </row>
    <row r="1038" spans="2:11" x14ac:dyDescent="0.35">
      <c r="B1038" s="5" t="str">
        <f t="shared" si="659"/>
        <v>SPS4</v>
      </c>
      <c r="C1038" s="5" t="str">
        <f t="shared" si="644"/>
        <v>CH</v>
      </c>
      <c r="D1038" t="s">
        <v>1034</v>
      </c>
      <c r="E1038" t="s">
        <v>8</v>
      </c>
      <c r="F1038" s="1">
        <f>F1039</f>
        <v>0</v>
      </c>
      <c r="G1038" s="1">
        <f t="shared" ref="G1038:K1038" si="683">G1039</f>
        <v>0</v>
      </c>
      <c r="H1038" s="1">
        <f t="shared" si="683"/>
        <v>0</v>
      </c>
      <c r="I1038" s="1">
        <f t="shared" si="683"/>
        <v>0</v>
      </c>
      <c r="J1038" s="1">
        <f t="shared" si="683"/>
        <v>0</v>
      </c>
      <c r="K1038" s="1">
        <f t="shared" si="683"/>
        <v>0</v>
      </c>
    </row>
    <row r="1039" spans="2:11" x14ac:dyDescent="0.35">
      <c r="B1039" s="5" t="str">
        <f t="shared" si="659"/>
        <v>SPS4</v>
      </c>
      <c r="C1039" s="5" t="str">
        <f t="shared" si="644"/>
        <v>CH</v>
      </c>
      <c r="D1039" t="s">
        <v>748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39" s="1" cm="1">
        <f t="array" ref="J1039">SUMPRODUCT(([1]OUT_FinalEnergyCons!$B$4:$B$10000="Var_Fin")*1, ISNUMBER(SEARCH("RSH2",[1]OUT_FinalEnergyCons!$C$4:$C$10000))*1,(ISNUMBER(SEARCH("RH*-wHH2BR",[1]OUT_FinalEnergyCons!$A$4:$A$10000)))*1,[1]OUT_FinalEnergyCons!H$4:H$10000)</f>
        <v>0</v>
      </c>
      <c r="K1039" s="1" cm="1">
        <f t="array" ref="K1039">SUMPRODUCT(([1]OUT_FinalEnergyCons!$B$4:$B$10000="Var_Fin")*1, ISNUMBER(SEARCH("RSH2",[1]OUT_FinalEnergyCons!$C$4:$C$10000))*1,(ISNUMBER(SEARCH("RH*-wHH2BR",[1]OUT_FinalEnergyCons!$A$4:$A$10000)))*1,[1]OUT_FinalEnergyCons!I$4:I$10000)</f>
        <v>0</v>
      </c>
    </row>
    <row r="1040" spans="2:11" x14ac:dyDescent="0.35">
      <c r="B1040" s="5" t="str">
        <f t="shared" si="659"/>
        <v>SPS4</v>
      </c>
      <c r="C1040" s="5" t="str">
        <f t="shared" si="644"/>
        <v>CH</v>
      </c>
      <c r="D1040" t="s">
        <v>1035</v>
      </c>
      <c r="E1040" t="s">
        <v>8</v>
      </c>
      <c r="F1040" s="1">
        <f>[1]Residential!B$21</f>
        <v>8.3978036856412377</v>
      </c>
      <c r="G1040" s="1">
        <f>[1]Residential!C$21</f>
        <v>9.6771181662999091</v>
      </c>
      <c r="H1040" s="1">
        <f>[1]Residential!D$21</f>
        <v>8.3331380978752829</v>
      </c>
      <c r="I1040" s="1">
        <f>[1]Residential!E$21</f>
        <v>9.4238700053402997</v>
      </c>
      <c r="J1040" s="1">
        <f>[1]Residential!F$21</f>
        <v>10.195772146961637</v>
      </c>
      <c r="K1040" s="1">
        <f>[1]Residential!G$21</f>
        <v>10.669100829175921</v>
      </c>
    </row>
    <row r="1041" spans="2:13" x14ac:dyDescent="0.35">
      <c r="B1041" s="5" t="str">
        <f t="shared" si="659"/>
        <v>SPS4</v>
      </c>
      <c r="C1041" s="5" t="str">
        <f t="shared" si="644"/>
        <v>CH</v>
      </c>
      <c r="D1041" t="s">
        <v>1036</v>
      </c>
      <c r="E1041" t="s">
        <v>8</v>
      </c>
      <c r="F1041" s="1">
        <f>SUM(F1042:F1044)</f>
        <v>0.13127363253167348</v>
      </c>
      <c r="G1041" s="1">
        <f t="shared" ref="G1041:K1041" si="684">SUM(G1042:G1044)</f>
        <v>1.267363047008095E-2</v>
      </c>
      <c r="H1041" s="1">
        <f t="shared" si="684"/>
        <v>3.5556966760965196E-2</v>
      </c>
      <c r="I1041" s="1">
        <f t="shared" si="684"/>
        <v>1.4489026347740639</v>
      </c>
      <c r="J1041" s="1">
        <f t="shared" si="684"/>
        <v>34.673746956975826</v>
      </c>
      <c r="K1041" s="1">
        <f t="shared" si="684"/>
        <v>48.04486672013725</v>
      </c>
    </row>
    <row r="1042" spans="2:13" x14ac:dyDescent="0.35">
      <c r="B1042" s="5" t="str">
        <f t="shared" si="659"/>
        <v>SPS4</v>
      </c>
      <c r="C1042" s="5" t="str">
        <f t="shared" si="644"/>
        <v>CH</v>
      </c>
      <c r="D1042" t="s">
        <v>749</v>
      </c>
      <c r="E1042" t="s">
        <v>8</v>
      </c>
      <c r="F1042" s="1">
        <f t="shared" ref="F1042:K1043" si="685">SUM(F242,F244)</f>
        <v>0.12915926565285504</v>
      </c>
      <c r="G1042" s="1">
        <f t="shared" si="685"/>
        <v>1.1598676609465296E-2</v>
      </c>
      <c r="H1042" s="1">
        <f t="shared" si="685"/>
        <v>3.4619823425920696E-2</v>
      </c>
      <c r="I1042" s="1">
        <f t="shared" si="685"/>
        <v>1.4367414451778986</v>
      </c>
      <c r="J1042" s="1">
        <f t="shared" si="685"/>
        <v>34.648403404564277</v>
      </c>
      <c r="K1042" s="1">
        <f t="shared" si="685"/>
        <v>48.023194836230374</v>
      </c>
    </row>
    <row r="1043" spans="2:13" x14ac:dyDescent="0.35">
      <c r="B1043" s="5" t="str">
        <f t="shared" si="659"/>
        <v>SPS4</v>
      </c>
      <c r="C1043" s="5" t="str">
        <f t="shared" si="644"/>
        <v>CH</v>
      </c>
      <c r="D1043" t="s">
        <v>750</v>
      </c>
      <c r="E1043" t="s">
        <v>8</v>
      </c>
      <c r="F1043" s="1">
        <f t="shared" si="685"/>
        <v>0</v>
      </c>
      <c r="G1043" s="1">
        <f t="shared" si="685"/>
        <v>0</v>
      </c>
      <c r="H1043" s="1">
        <f t="shared" si="685"/>
        <v>0</v>
      </c>
      <c r="I1043" s="1">
        <f t="shared" si="685"/>
        <v>0</v>
      </c>
      <c r="J1043" s="1">
        <f t="shared" si="685"/>
        <v>0</v>
      </c>
      <c r="K1043" s="1">
        <f t="shared" si="685"/>
        <v>0</v>
      </c>
    </row>
    <row r="1044" spans="2:13" x14ac:dyDescent="0.35">
      <c r="B1044" s="5" t="str">
        <f t="shared" si="659"/>
        <v>SPS4</v>
      </c>
      <c r="C1044" s="5" t="str">
        <f t="shared" si="644"/>
        <v>CH</v>
      </c>
      <c r="D1044" t="s">
        <v>751</v>
      </c>
      <c r="E1044" t="s">
        <v>8</v>
      </c>
      <c r="F1044" s="1">
        <f t="shared" ref="F1044:K1044" si="686">SUM(F283,F284)</f>
        <v>2.1143668788184411E-3</v>
      </c>
      <c r="G1044" s="1">
        <f t="shared" si="686"/>
        <v>1.0749538606156528E-3</v>
      </c>
      <c r="H1044" s="1">
        <f t="shared" si="686"/>
        <v>9.3714333504450016E-4</v>
      </c>
      <c r="I1044" s="1">
        <f t="shared" si="686"/>
        <v>1.2161189596165387E-2</v>
      </c>
      <c r="J1044" s="1">
        <f t="shared" si="686"/>
        <v>2.5343552411552221E-2</v>
      </c>
      <c r="K1044" s="1">
        <f t="shared" si="686"/>
        <v>2.1671883906874398E-2</v>
      </c>
    </row>
    <row r="1045" spans="2:13" x14ac:dyDescent="0.35">
      <c r="B1045" s="5" t="str">
        <f t="shared" si="659"/>
        <v>SPS4</v>
      </c>
      <c r="C1045" s="5" t="str">
        <f t="shared" si="644"/>
        <v>CH</v>
      </c>
      <c r="D1045" t="s">
        <v>1037</v>
      </c>
      <c r="E1045" t="s">
        <v>8</v>
      </c>
      <c r="F1045" s="1">
        <f>F1040-F1041</f>
        <v>8.2665300531095642</v>
      </c>
      <c r="G1045" s="1">
        <f t="shared" ref="G1045:K1045" si="687">G1040-G1041</f>
        <v>9.6644445358298281</v>
      </c>
      <c r="H1045" s="1">
        <f t="shared" si="687"/>
        <v>8.2975811311143186</v>
      </c>
      <c r="I1045" s="1">
        <f t="shared" si="687"/>
        <v>7.9749673705662358</v>
      </c>
      <c r="J1045" s="1">
        <f t="shared" si="687"/>
        <v>-24.477974810014189</v>
      </c>
      <c r="K1045" s="1">
        <f t="shared" si="687"/>
        <v>-37.375765890961333</v>
      </c>
    </row>
    <row r="1046" spans="2:13" x14ac:dyDescent="0.35">
      <c r="B1046" s="5" t="str">
        <f t="shared" si="659"/>
        <v>SPS4</v>
      </c>
      <c r="C1046" s="5" t="str">
        <f t="shared" si="644"/>
        <v>CH</v>
      </c>
      <c r="D1046" t="s">
        <v>1038</v>
      </c>
      <c r="E1046" t="s">
        <v>8</v>
      </c>
      <c r="F1046" s="1">
        <f>[1]Residential!B$25</f>
        <v>15.195040907631874</v>
      </c>
      <c r="G1046" s="1">
        <f>[1]Residential!C$25</f>
        <v>17.635766774980091</v>
      </c>
      <c r="H1046" s="1">
        <f>[1]Residential!D$25</f>
        <v>25.438125451749222</v>
      </c>
      <c r="I1046" s="1">
        <f>[1]Residential!E$25</f>
        <v>36.353606859578235</v>
      </c>
      <c r="J1046" s="1">
        <f>[1]Residential!F$25</f>
        <v>49.83719416446516</v>
      </c>
      <c r="K1046" s="1">
        <f>[1]Residential!G$25</f>
        <v>61.878475424119301</v>
      </c>
    </row>
    <row r="1047" spans="2:13" x14ac:dyDescent="0.35">
      <c r="B1047" s="5" t="str">
        <f t="shared" si="659"/>
        <v>SPS4</v>
      </c>
      <c r="C1047" s="5" t="str">
        <f t="shared" si="644"/>
        <v>CH</v>
      </c>
      <c r="D1047" t="s">
        <v>1039</v>
      </c>
      <c r="E1047" t="s">
        <v>8</v>
      </c>
      <c r="F1047" s="1">
        <f>F1046-F1050</f>
        <v>13.104023797011784</v>
      </c>
      <c r="G1047" s="1">
        <f t="shared" ref="G1047:K1047" si="688">G1046-G1050</f>
        <v>15.286725577521453</v>
      </c>
      <c r="H1047" s="1">
        <f t="shared" si="688"/>
        <v>22.765144564761876</v>
      </c>
      <c r="I1047" s="1">
        <f t="shared" si="688"/>
        <v>31.622516068760646</v>
      </c>
      <c r="J1047" s="1">
        <f t="shared" si="688"/>
        <v>41.71542531624133</v>
      </c>
      <c r="K1047" s="1">
        <f t="shared" si="688"/>
        <v>50.196802538640966</v>
      </c>
      <c r="M1047" s="1"/>
    </row>
    <row r="1048" spans="2:13" x14ac:dyDescent="0.35">
      <c r="B1048" s="5" t="str">
        <f t="shared" si="659"/>
        <v>SPS4</v>
      </c>
      <c r="C1048" s="5" t="str">
        <f t="shared" si="644"/>
        <v>CH</v>
      </c>
      <c r="D1048" t="s">
        <v>752</v>
      </c>
      <c r="E1048" t="s">
        <v>8</v>
      </c>
      <c r="F1048" s="1">
        <f>F1047-F1049</f>
        <v>13.104023797011784</v>
      </c>
      <c r="G1048" s="1">
        <f t="shared" ref="G1048:K1048" si="689">G1047-G1049</f>
        <v>15.286725577521453</v>
      </c>
      <c r="H1048" s="1">
        <f t="shared" si="689"/>
        <v>20.695600901336796</v>
      </c>
      <c r="I1048" s="1">
        <f t="shared" si="689"/>
        <v>27.075282343839866</v>
      </c>
      <c r="J1048" s="1">
        <f t="shared" si="689"/>
        <v>34.144218648854547</v>
      </c>
      <c r="K1048" s="1">
        <f t="shared" si="689"/>
        <v>40.032254337473276</v>
      </c>
    </row>
    <row r="1049" spans="2:13" x14ac:dyDescent="0.35">
      <c r="B1049" s="5" t="str">
        <f t="shared" si="659"/>
        <v>SPS4</v>
      </c>
      <c r="C1049" s="5" t="str">
        <f t="shared" si="644"/>
        <v>CH</v>
      </c>
      <c r="D1049" t="s">
        <v>753</v>
      </c>
      <c r="E1049" t="s">
        <v>8</v>
      </c>
      <c r="F1049" s="1" cm="1">
        <f t="array" ref="F1049">SUMPRODUCT(([1]OUT_FinalEnergyCons!$B$4:$B$10000="Var_FOut")*1, ISNUMBER(SEARCH("RH*SHANGAH",[1]OUT_FinalEnergyCons!$C$4:$C$10000))*1,ISNUMBER(SEARCH("RH*-SHngahp",[1]OUT_FinalEnergyCons!$A$4:$A$10000))*1,[1]OUT_FinalEnergyCons!D$4:D$10000)-F997</f>
        <v>0</v>
      </c>
      <c r="G1049" s="1" cm="1">
        <f t="array" ref="G1049">SUMPRODUCT(([1]OUT_FinalEnergyCons!$B$4:$B$10000="Var_FOut")*1, ISNUMBER(SEARCH("RH*SHANGAH",[1]OUT_FinalEnergyCons!$C$4:$C$10000))*1,ISNUMBER(SEARCH("RH*-SHngahp",[1]OUT_FinalEnergyCons!$A$4:$A$10000))*1,[1]OUT_FinalEnergyCons!E$4:E$10000)-G997</f>
        <v>0</v>
      </c>
      <c r="H1049" s="1" cm="1">
        <f t="array" ref="H1049">SUMPRODUCT(([1]OUT_FinalEnergyCons!$B$4:$B$10000="Var_FOut")*1, ISNUMBER(SEARCH("RH*SHANGAH",[1]OUT_FinalEnergyCons!$C$4:$C$10000))*1,ISNUMBER(SEARCH("RH*-SHngahp",[1]OUT_FinalEnergyCons!$A$4:$A$10000))*1,[1]OUT_FinalEnergyCons!F$4:F$10000)-H997</f>
        <v>2.0695436634250814</v>
      </c>
      <c r="I1049" s="1" cm="1">
        <f t="array" ref="I1049">SUMPRODUCT(([1]OUT_FinalEnergyCons!$B$4:$B$10000="Var_FOut")*1, ISNUMBER(SEARCH("RH*SHANGAH",[1]OUT_FinalEnergyCons!$C$4:$C$10000))*1,ISNUMBER(SEARCH("RH*-SHngahp",[1]OUT_FinalEnergyCons!$A$4:$A$10000))*1,[1]OUT_FinalEnergyCons!G$4:G$10000)-I997</f>
        <v>4.5472337249207779</v>
      </c>
      <c r="J1049" s="1" cm="1">
        <f t="array" ref="J1049">SUMPRODUCT(([1]OUT_FinalEnergyCons!$B$4:$B$10000="Var_FOut")*1, ISNUMBER(SEARCH("RH*SHANGAH",[1]OUT_FinalEnergyCons!$C$4:$C$10000))*1,ISNUMBER(SEARCH("RH*-SHngahp",[1]OUT_FinalEnergyCons!$A$4:$A$10000))*1,[1]OUT_FinalEnergyCons!H$4:H$10000)-J997</f>
        <v>7.5712066673867824</v>
      </c>
      <c r="K1049" s="1" cm="1">
        <f t="array" ref="K1049">SUMPRODUCT(([1]OUT_FinalEnergyCons!$B$4:$B$10000="Var_FOut")*1, ISNUMBER(SEARCH("RH*SHANGAH",[1]OUT_FinalEnergyCons!$C$4:$C$10000))*1,ISNUMBER(SEARCH("RH*-SHngahp",[1]OUT_FinalEnergyCons!$A$4:$A$10000))*1,[1]OUT_FinalEnergyCons!I$4:I$10000)-K997</f>
        <v>10.16454820116769</v>
      </c>
      <c r="M1049" s="20"/>
    </row>
    <row r="1050" spans="2:13" x14ac:dyDescent="0.35">
      <c r="B1050" s="5" t="str">
        <f t="shared" si="659"/>
        <v>SPS4</v>
      </c>
      <c r="C1050" s="5" t="str">
        <f t="shared" si="644"/>
        <v>CH</v>
      </c>
      <c r="D1050" t="s">
        <v>1040</v>
      </c>
      <c r="E1050" t="s">
        <v>8</v>
      </c>
      <c r="F1050" s="1">
        <f>SUM(F1051:F1052)</f>
        <v>2.0910171106200899</v>
      </c>
      <c r="G1050" s="1">
        <f t="shared" ref="G1050:K1050" si="690">SUM(G1051:G1052)</f>
        <v>2.3490411974586372</v>
      </c>
      <c r="H1050" s="1">
        <f t="shared" si="690"/>
        <v>2.672980886987347</v>
      </c>
      <c r="I1050" s="1">
        <f t="shared" si="690"/>
        <v>4.7310907908175901</v>
      </c>
      <c r="J1050" s="1">
        <f t="shared" si="690"/>
        <v>8.1217688482238302</v>
      </c>
      <c r="K1050" s="1">
        <f t="shared" si="690"/>
        <v>11.681672885478337</v>
      </c>
    </row>
    <row r="1051" spans="2:13" x14ac:dyDescent="0.35">
      <c r="B1051" s="5" t="str">
        <f t="shared" si="659"/>
        <v>SPS4</v>
      </c>
      <c r="C1051" s="5" t="str">
        <f t="shared" si="644"/>
        <v>CH</v>
      </c>
      <c r="D1051" t="s">
        <v>754</v>
      </c>
      <c r="E1051" t="s">
        <v>8</v>
      </c>
      <c r="F1051" s="1" cm="1">
        <f t="array" ref="F1051">SUMPRODUCT(([1]OUT_FinalEnergyCons!$B$4:$B$10000="Var_FOut")*1, ISNUMBER(SEARCH("RHSA-WHAELCH",[1]OUT_FinalEnergyCons!$C$4:$C$10000))*1,(ISNUMBER(SEARCH("RHSA-WHELCHP",[1]OUT_FinalEnergyCons!$A$4:$A$10000)))*1,[1]OUT_FinalEnergyCons!D$4:D$10000)-F977</f>
        <v>2.0910171106200899</v>
      </c>
      <c r="G1051" s="1" cm="1">
        <f t="array" ref="G1051">SUMPRODUCT(([1]OUT_FinalEnergyCons!$B$4:$B$10000="Var_FOut")*1, ISNUMBER(SEARCH("RHSA-WHAELCH",[1]OUT_FinalEnergyCons!$C$4:$C$10000))*1,(ISNUMBER(SEARCH("RHSA-WHELCHP",[1]OUT_FinalEnergyCons!$A$4:$A$10000)))*1,[1]OUT_FinalEnergyCons!E$4:E$10000)-G977</f>
        <v>2.3490411974586372</v>
      </c>
      <c r="H1051" s="1" cm="1">
        <f t="array" ref="H1051">SUMPRODUCT(([1]OUT_FinalEnergyCons!$B$4:$B$10000="Var_FOut")*1, ISNUMBER(SEARCH("RHSA-WHAELCH",[1]OUT_FinalEnergyCons!$C$4:$C$10000))*1,(ISNUMBER(SEARCH("RHSA-WHELCHP",[1]OUT_FinalEnergyCons!$A$4:$A$10000)))*1,[1]OUT_FinalEnergyCons!F$4:F$10000)-H977</f>
        <v>2.2186816249378158</v>
      </c>
      <c r="I1051" s="1" cm="1">
        <f t="array" ref="I1051">SUMPRODUCT(([1]OUT_FinalEnergyCons!$B$4:$B$10000="Var_FOut")*1, ISNUMBER(SEARCH("RHSA-WHAELCH",[1]OUT_FinalEnergyCons!$C$4:$C$10000))*1,(ISNUMBER(SEARCH("RHSA-WHELCHP",[1]OUT_FinalEnergyCons!$A$4:$A$10000)))*1,[1]OUT_FinalEnergyCons!G$4:G$10000)-I977</f>
        <v>3.5333370640468211</v>
      </c>
      <c r="J1051" s="1" cm="1">
        <f t="array" ref="J1051">SUMPRODUCT(([1]OUT_FinalEnergyCons!$B$4:$B$10000="Var_FOut")*1, ISNUMBER(SEARCH("RHSA-WHAELCH",[1]OUT_FinalEnergyCons!$C$4:$C$10000))*1,(ISNUMBER(SEARCH("RHSA-WHELCHP",[1]OUT_FinalEnergyCons!$A$4:$A$10000)))*1,[1]OUT_FinalEnergyCons!H$4:H$10000)-J977</f>
        <v>5.6755346606824126</v>
      </c>
      <c r="K1051" s="1" cm="1">
        <f t="array" ref="K1051">SUMPRODUCT(([1]OUT_FinalEnergyCons!$B$4:$B$10000="Var_FOut")*1, ISNUMBER(SEARCH("RHSA-WHAELCH",[1]OUT_FinalEnergyCons!$C$4:$C$10000))*1,(ISNUMBER(SEARCH("RHSA-WHELCHP",[1]OUT_FinalEnergyCons!$A$4:$A$10000)))*1,[1]OUT_FinalEnergyCons!I$4:I$10000)-K977</f>
        <v>7.9428538830627895</v>
      </c>
    </row>
    <row r="1052" spans="2:13" x14ac:dyDescent="0.35">
      <c r="B1052" s="5" t="str">
        <f t="shared" si="659"/>
        <v>SPS4</v>
      </c>
      <c r="C1052" s="5" t="str">
        <f t="shared" si="644"/>
        <v>CH</v>
      </c>
      <c r="D1052" t="s">
        <v>755</v>
      </c>
      <c r="E1052" t="s">
        <v>8</v>
      </c>
      <c r="F1052" s="1" cm="1">
        <f t="array" ref="F1052">SUMPRODUCT(([1]OUT_FinalEnergyCons!$B$4:$B$10000="Var_FOut")*1,ISNUMBER(SEARCH("RHSA-WHangah",[1]OUT_FinalEnergyCons!$C$4:$C$10000))*1,(ISNUMBER(SEARCH("RHSA-WHngahp",[1]OUT_FinalEnergyCons!$A$4:$A$10000)))*1,[1]OUT_FinalEnergyCons!D$4:D$10000)-F1006</f>
        <v>0</v>
      </c>
      <c r="G1052" s="1" cm="1">
        <f t="array" ref="G1052">SUMPRODUCT(([1]OUT_FinalEnergyCons!$B$4:$B$10000="Var_FOut")*1,ISNUMBER(SEARCH("RHSA-WHangah",[1]OUT_FinalEnergyCons!$C$4:$C$10000))*1,(ISNUMBER(SEARCH("RHSA-WHngahp",[1]OUT_FinalEnergyCons!$A$4:$A$10000)))*1,[1]OUT_FinalEnergyCons!E$4:E$10000)-G1006</f>
        <v>0</v>
      </c>
      <c r="H1052" s="1" cm="1">
        <f t="array" ref="H1052">SUMPRODUCT(([1]OUT_FinalEnergyCons!$B$4:$B$10000="Var_FOut")*1,ISNUMBER(SEARCH("RHSA-WHangah",[1]OUT_FinalEnergyCons!$C$4:$C$10000))*1,(ISNUMBER(SEARCH("RHSA-WHngahp",[1]OUT_FinalEnergyCons!$A$4:$A$10000)))*1,[1]OUT_FinalEnergyCons!F$4:F$10000)-H1006</f>
        <v>0.45429926204953103</v>
      </c>
      <c r="I1052" s="1" cm="1">
        <f t="array" ref="I1052">SUMPRODUCT(([1]OUT_FinalEnergyCons!$B$4:$B$10000="Var_FOut")*1,ISNUMBER(SEARCH("RHSA-WHangah",[1]OUT_FinalEnergyCons!$C$4:$C$10000))*1,(ISNUMBER(SEARCH("RHSA-WHngahp",[1]OUT_FinalEnergyCons!$A$4:$A$10000)))*1,[1]OUT_FinalEnergyCons!G$4:G$10000)-I1006</f>
        <v>1.1977537267707692</v>
      </c>
      <c r="J1052" s="1" cm="1">
        <f t="array" ref="J1052">SUMPRODUCT(([1]OUT_FinalEnergyCons!$B$4:$B$10000="Var_FOut")*1,ISNUMBER(SEARCH("RHSA-WHangah",[1]OUT_FinalEnergyCons!$C$4:$C$10000))*1,(ISNUMBER(SEARCH("RHSA-WHngahp",[1]OUT_FinalEnergyCons!$A$4:$A$10000)))*1,[1]OUT_FinalEnergyCons!H$4:H$10000)-J1006</f>
        <v>2.4462341875414166</v>
      </c>
      <c r="K1052" s="1" cm="1">
        <f t="array" ref="K1052">SUMPRODUCT(([1]OUT_FinalEnergyCons!$B$4:$B$10000="Var_FOut")*1,ISNUMBER(SEARCH("RHSA-WHangah",[1]OUT_FinalEnergyCons!$C$4:$C$10000))*1,(ISNUMBER(SEARCH("RHSA-WHngahp",[1]OUT_FinalEnergyCons!$A$4:$A$10000)))*1,[1]OUT_FinalEnergyCons!I$4:I$10000)-K1006</f>
        <v>3.7388190024155477</v>
      </c>
    </row>
    <row r="1053" spans="2:13" x14ac:dyDescent="0.35">
      <c r="B1053" s="5" t="str">
        <f t="shared" si="659"/>
        <v>SPS4</v>
      </c>
      <c r="C1053" s="5" t="str">
        <f t="shared" si="644"/>
        <v>CH</v>
      </c>
      <c r="D1053" s="2" t="s">
        <v>756</v>
      </c>
      <c r="E1053" t="s">
        <v>8</v>
      </c>
      <c r="F1053" s="3">
        <f>[1]Residential!B$245</f>
        <v>156.01325378558198</v>
      </c>
      <c r="G1053" s="3">
        <f>[1]Residential!C$245</f>
        <v>162.34151370326165</v>
      </c>
      <c r="H1053" s="3">
        <f>[1]Residential!D$245</f>
        <v>147.84541793720365</v>
      </c>
      <c r="I1053" s="3">
        <f>[1]Residential!E$245</f>
        <v>149.3128200491966</v>
      </c>
      <c r="J1053" s="3">
        <f>[1]Residential!F$245</f>
        <v>151.4547146583667</v>
      </c>
      <c r="K1053" s="3">
        <f>[1]Residential!G$245</f>
        <v>154.53786028994213</v>
      </c>
    </row>
    <row r="1054" spans="2:13" x14ac:dyDescent="0.35">
      <c r="B1054" s="5" t="str">
        <f t="shared" si="659"/>
        <v>SPS4</v>
      </c>
      <c r="C1054" s="5" t="str">
        <f>C1053</f>
        <v>CH</v>
      </c>
      <c r="D1054" t="s">
        <v>770</v>
      </c>
      <c r="E1054" t="s">
        <v>8</v>
      </c>
      <c r="F1054" s="1">
        <f>[1]Residential!B$116</f>
        <v>129.03482746001339</v>
      </c>
      <c r="G1054" s="1">
        <f>[1]Residential!C$116</f>
        <v>136.41127004178784</v>
      </c>
      <c r="H1054" s="1">
        <f>[1]Residential!D$116</f>
        <v>126.19168501355031</v>
      </c>
      <c r="I1054" s="1">
        <f>[1]Residential!E$116</f>
        <v>126.73169957983824</v>
      </c>
      <c r="J1054" s="1">
        <f>[1]Residential!F$116</f>
        <v>125.86916258135051</v>
      </c>
      <c r="K1054" s="1">
        <f>[1]Residential!G$116</f>
        <v>125.47272305338196</v>
      </c>
    </row>
    <row r="1055" spans="2:13" x14ac:dyDescent="0.35">
      <c r="B1055" s="5" t="str">
        <f t="shared" si="659"/>
        <v>SPS4</v>
      </c>
      <c r="C1055" s="5" t="str">
        <f t="shared" ref="C1055:C1105" si="691">C1054</f>
        <v>CH</v>
      </c>
      <c r="D1055" t="s">
        <v>1116</v>
      </c>
      <c r="E1055" t="s">
        <v>8</v>
      </c>
      <c r="F1055" s="1">
        <f>SUM(F1056:F1057)</f>
        <v>27.968462563261596</v>
      </c>
      <c r="G1055" s="1">
        <f t="shared" ref="G1055:K1055" si="692">SUM(G1056:G1057)</f>
        <v>29.592470795820084</v>
      </c>
      <c r="H1055" s="1">
        <f t="shared" si="692"/>
        <v>31.993884526708765</v>
      </c>
      <c r="I1055" s="1">
        <f t="shared" si="692"/>
        <v>39.682549643669823</v>
      </c>
      <c r="J1055" s="1">
        <f t="shared" si="692"/>
        <v>48.061468709443623</v>
      </c>
      <c r="K1055" s="1">
        <f t="shared" si="692"/>
        <v>54.621431187263561</v>
      </c>
    </row>
    <row r="1056" spans="2:13" x14ac:dyDescent="0.35">
      <c r="B1056" s="5" t="str">
        <f t="shared" si="659"/>
        <v>SPS4</v>
      </c>
      <c r="C1056" s="5" t="str">
        <f t="shared" si="691"/>
        <v>CH</v>
      </c>
      <c r="D1056" t="s">
        <v>1117</v>
      </c>
      <c r="E1056" t="s">
        <v>8</v>
      </c>
      <c r="F1056" s="1">
        <f>[1]Residential!B$102</f>
        <v>8.9080643246951325</v>
      </c>
      <c r="G1056" s="1">
        <f>[1]Residential!C$102</f>
        <v>7.5216954190433176</v>
      </c>
      <c r="H1056" s="1">
        <f>[1]Residential!D$102</f>
        <v>0.83302878697923743</v>
      </c>
      <c r="I1056" s="1">
        <f>[1]Residential!E$102</f>
        <v>0.22539421266459658</v>
      </c>
      <c r="J1056" s="1">
        <f>[1]Residential!F$102</f>
        <v>4.1905293622278079E-2</v>
      </c>
      <c r="K1056" s="1">
        <f>[1]Residential!G$102</f>
        <v>4.5089355068905386E-2</v>
      </c>
    </row>
    <row r="1057" spans="2:11" x14ac:dyDescent="0.35">
      <c r="B1057" s="5" t="str">
        <f t="shared" si="659"/>
        <v>SPS4</v>
      </c>
      <c r="C1057" s="5" t="str">
        <f t="shared" si="691"/>
        <v>CH</v>
      </c>
      <c r="D1057" t="s">
        <v>1118</v>
      </c>
      <c r="E1057" t="s">
        <v>8</v>
      </c>
      <c r="F1057" s="1">
        <f>[1]Residential!B$104</f>
        <v>19.060398238566464</v>
      </c>
      <c r="G1057" s="1">
        <f>[1]Residential!C$104</f>
        <v>22.070775376776766</v>
      </c>
      <c r="H1057" s="1">
        <f>[1]Residential!D$104</f>
        <v>31.160855739729527</v>
      </c>
      <c r="I1057" s="1">
        <f>[1]Residential!E$104</f>
        <v>39.457155431005226</v>
      </c>
      <c r="J1057" s="1">
        <f>[1]Residential!F$104</f>
        <v>48.019563415821345</v>
      </c>
      <c r="K1057" s="1">
        <f>[1]Residential!G$104</f>
        <v>54.576341832194657</v>
      </c>
    </row>
    <row r="1058" spans="2:11" x14ac:dyDescent="0.35">
      <c r="B1058" s="5" t="str">
        <f t="shared" si="659"/>
        <v>SPS4</v>
      </c>
      <c r="C1058" s="5" t="str">
        <f t="shared" si="691"/>
        <v>CH</v>
      </c>
      <c r="D1058" t="s">
        <v>1047</v>
      </c>
      <c r="E1058" t="s">
        <v>8</v>
      </c>
      <c r="F1058" s="1">
        <f>F1059</f>
        <v>45.12442704876797</v>
      </c>
      <c r="G1058" s="1">
        <f t="shared" ref="G1058:K1058" si="693">G1059</f>
        <v>39.025771105903736</v>
      </c>
      <c r="H1058" s="1">
        <f t="shared" si="693"/>
        <v>34.817088721206858</v>
      </c>
      <c r="I1058" s="1">
        <f t="shared" si="693"/>
        <v>23.207562152225577</v>
      </c>
      <c r="J1058" s="1">
        <f t="shared" si="693"/>
        <v>12.399088102201254</v>
      </c>
      <c r="K1058" s="1">
        <f t="shared" si="693"/>
        <v>3.7601755219768078</v>
      </c>
    </row>
    <row r="1059" spans="2:11" x14ac:dyDescent="0.35">
      <c r="B1059" s="5" t="str">
        <f t="shared" si="659"/>
        <v>SPS4</v>
      </c>
      <c r="C1059" s="5" t="str">
        <f t="shared" si="691"/>
        <v>CH</v>
      </c>
      <c r="D1059" t="s">
        <v>1048</v>
      </c>
      <c r="E1059" t="s">
        <v>8</v>
      </c>
      <c r="F1059" s="1">
        <f>[1]Residential!B$105</f>
        <v>45.12442704876797</v>
      </c>
      <c r="G1059" s="1">
        <f>[1]Residential!C$105</f>
        <v>39.025771105903736</v>
      </c>
      <c r="H1059" s="1">
        <f>[1]Residential!D$105</f>
        <v>34.817088721206858</v>
      </c>
      <c r="I1059" s="1">
        <f>[1]Residential!E$105</f>
        <v>23.207562152225577</v>
      </c>
      <c r="J1059" s="1">
        <f>[1]Residential!F$105</f>
        <v>12.399088102201254</v>
      </c>
      <c r="K1059" s="1">
        <f>[1]Residential!G$105</f>
        <v>3.7601755219768078</v>
      </c>
    </row>
    <row r="1060" spans="2:11" x14ac:dyDescent="0.35">
      <c r="B1060" s="5" t="str">
        <f t="shared" si="659"/>
        <v>SPS4</v>
      </c>
      <c r="C1060" s="5" t="str">
        <f t="shared" si="691"/>
        <v>CH</v>
      </c>
      <c r="D1060" t="s">
        <v>1049</v>
      </c>
      <c r="E1060" t="s">
        <v>8</v>
      </c>
      <c r="F1060" s="1">
        <f>SUM(F1061:F1062)</f>
        <v>36.569933552771701</v>
      </c>
      <c r="G1060" s="1">
        <f t="shared" ref="G1060:K1060" si="694">SUM(G1061:G1062)</f>
        <v>38.870729217131974</v>
      </c>
      <c r="H1060" s="1">
        <f t="shared" si="694"/>
        <v>37.583515501676644</v>
      </c>
      <c r="I1060" s="1">
        <f t="shared" si="694"/>
        <v>37.621390504599262</v>
      </c>
      <c r="J1060" s="1">
        <f t="shared" si="694"/>
        <v>32.698174953237512</v>
      </c>
      <c r="K1060" s="1">
        <f t="shared" si="694"/>
        <v>28.450620090434732</v>
      </c>
    </row>
    <row r="1061" spans="2:11" x14ac:dyDescent="0.35">
      <c r="B1061" s="5" t="str">
        <f t="shared" si="659"/>
        <v>SPS4</v>
      </c>
      <c r="C1061" s="5" t="str">
        <f t="shared" si="691"/>
        <v>CH</v>
      </c>
      <c r="D1061" t="s">
        <v>1050</v>
      </c>
      <c r="E1061" t="s">
        <v>8</v>
      </c>
      <c r="F1061" s="1">
        <f>[1]Residential!B$106</f>
        <v>36.569933552771701</v>
      </c>
      <c r="G1061" s="1">
        <f>[1]Residential!C$106</f>
        <v>38.870729217131974</v>
      </c>
      <c r="H1061" s="1">
        <f>[1]Residential!D$106</f>
        <v>33.105662957924473</v>
      </c>
      <c r="I1061" s="1">
        <f>[1]Residential!E$106</f>
        <v>28.080345047820177</v>
      </c>
      <c r="J1061" s="1">
        <f>[1]Residential!F$106</f>
        <v>17.271220030206539</v>
      </c>
      <c r="K1061" s="1">
        <f>[1]Residential!G$106</f>
        <v>8.2105673816643634</v>
      </c>
    </row>
    <row r="1062" spans="2:11" x14ac:dyDescent="0.35">
      <c r="B1062" s="5" t="str">
        <f t="shared" si="659"/>
        <v>SPS4</v>
      </c>
      <c r="C1062" s="5" t="str">
        <f t="shared" si="691"/>
        <v>CH</v>
      </c>
      <c r="D1062" t="s">
        <v>1051</v>
      </c>
      <c r="E1062" t="s">
        <v>8</v>
      </c>
      <c r="F1062" s="1">
        <f>[1]Residential!B$107</f>
        <v>0</v>
      </c>
      <c r="G1062" s="1">
        <f>[1]Residential!C$107</f>
        <v>0</v>
      </c>
      <c r="H1062" s="1">
        <f>[1]Residential!D$107</f>
        <v>4.4778525437521726</v>
      </c>
      <c r="I1062" s="1">
        <f>[1]Residential!E$107</f>
        <v>9.5410454567790843</v>
      </c>
      <c r="J1062" s="1">
        <f>[1]Residential!F$107</f>
        <v>15.426954923030969</v>
      </c>
      <c r="K1062" s="1">
        <f>[1]Residential!G$107</f>
        <v>20.240052708770371</v>
      </c>
    </row>
    <row r="1063" spans="2:11" x14ac:dyDescent="0.35">
      <c r="B1063" s="5" t="str">
        <f t="shared" si="659"/>
        <v>SPS4</v>
      </c>
      <c r="C1063" s="5" t="str">
        <f t="shared" si="691"/>
        <v>CH</v>
      </c>
      <c r="D1063" t="s">
        <v>1052</v>
      </c>
      <c r="E1063" t="s">
        <v>8</v>
      </c>
      <c r="F1063" s="1">
        <f>F1064</f>
        <v>7.2002854065544297E-2</v>
      </c>
      <c r="G1063" s="1">
        <f t="shared" ref="G1063:K1063" si="695">G1064</f>
        <v>7.2001885756659251E-2</v>
      </c>
      <c r="H1063" s="1">
        <f t="shared" si="695"/>
        <v>2.1545335069236466E-2</v>
      </c>
      <c r="I1063" s="1">
        <f t="shared" si="695"/>
        <v>4.849364689341505E-3</v>
      </c>
      <c r="J1063" s="1">
        <f t="shared" si="695"/>
        <v>0</v>
      </c>
      <c r="K1063" s="1">
        <f t="shared" si="695"/>
        <v>0</v>
      </c>
    </row>
    <row r="1064" spans="2:11" x14ac:dyDescent="0.35">
      <c r="B1064" s="5" t="str">
        <f t="shared" si="659"/>
        <v>SPS4</v>
      </c>
      <c r="C1064" s="5" t="str">
        <f t="shared" si="691"/>
        <v>CH</v>
      </c>
      <c r="D1064" t="s">
        <v>1053</v>
      </c>
      <c r="E1064" t="s">
        <v>8</v>
      </c>
      <c r="F1064" s="1">
        <f>[1]Residential!B$108</f>
        <v>7.2002854065544297E-2</v>
      </c>
      <c r="G1064" s="1">
        <f>[1]Residential!C$108</f>
        <v>7.2001885756659251E-2</v>
      </c>
      <c r="H1064" s="1">
        <f>[1]Residential!D$108</f>
        <v>2.1545335069236466E-2</v>
      </c>
      <c r="I1064" s="1">
        <f>[1]Residential!E$108</f>
        <v>4.849364689341505E-3</v>
      </c>
      <c r="J1064" s="1">
        <f>[1]Residential!F$108</f>
        <v>0</v>
      </c>
      <c r="K1064" s="1">
        <f>[1]Residential!G$108</f>
        <v>0</v>
      </c>
    </row>
    <row r="1065" spans="2:11" x14ac:dyDescent="0.35">
      <c r="B1065" s="5" t="str">
        <f t="shared" si="659"/>
        <v>SPS4</v>
      </c>
      <c r="C1065" s="5" t="str">
        <f t="shared" si="691"/>
        <v>CH</v>
      </c>
      <c r="D1065" t="s">
        <v>1054</v>
      </c>
      <c r="E1065" t="s">
        <v>8</v>
      </c>
      <c r="F1065" s="1">
        <f>SUM([1]Residential!B$109:B$110)</f>
        <v>6.62045659474835</v>
      </c>
      <c r="G1065" s="1">
        <f>SUM([1]Residential!C$109:C$110)</f>
        <v>7.7037349220204288</v>
      </c>
      <c r="H1065" s="1">
        <f>SUM([1]Residential!D$109:D$110)</f>
        <v>5.87204719864034</v>
      </c>
      <c r="I1065" s="1">
        <f>SUM([1]Residential!E$109:E$110)</f>
        <v>6.5737581937191045</v>
      </c>
      <c r="J1065" s="1">
        <f>SUM([1]Residential!F$109:F$110)</f>
        <v>6.9450163688217401</v>
      </c>
      <c r="K1065" s="1">
        <f>SUM([1]Residential!G$109:G$110)</f>
        <v>7.133212683806736</v>
      </c>
    </row>
    <row r="1066" spans="2:11" x14ac:dyDescent="0.35">
      <c r="B1066" s="5" t="str">
        <f t="shared" si="659"/>
        <v>SPS4</v>
      </c>
      <c r="C1066" s="5" t="str">
        <f t="shared" si="691"/>
        <v>CH</v>
      </c>
      <c r="D1066" t="s">
        <v>1055</v>
      </c>
      <c r="E1066" t="s">
        <v>8</v>
      </c>
      <c r="F1066" s="1">
        <f>[1]Residential!B$109</f>
        <v>7.8239368436799364E-2</v>
      </c>
      <c r="G1066" s="1">
        <f>[1]Residential!C$109</f>
        <v>1.0491725297897492E-2</v>
      </c>
      <c r="H1066" s="1">
        <f>[1]Residential!D$109</f>
        <v>0</v>
      </c>
      <c r="I1066" s="1">
        <f>[1]Residential!E$109</f>
        <v>0</v>
      </c>
      <c r="J1066" s="1">
        <f>[1]Residential!F$109</f>
        <v>0</v>
      </c>
      <c r="K1066" s="1">
        <f>[1]Residential!G$109</f>
        <v>0</v>
      </c>
    </row>
    <row r="1067" spans="2:11" x14ac:dyDescent="0.35">
      <c r="B1067" s="5" t="str">
        <f t="shared" si="659"/>
        <v>SPS4</v>
      </c>
      <c r="C1067" s="5" t="str">
        <f t="shared" si="691"/>
        <v>CH</v>
      </c>
      <c r="D1067" t="s">
        <v>1056</v>
      </c>
      <c r="E1067" t="s">
        <v>8</v>
      </c>
      <c r="F1067" s="1">
        <f>IFERROR(F$1066/F$1041,0)*F1042</f>
        <v>7.6979201211652082E-2</v>
      </c>
      <c r="G1067" s="1">
        <f t="shared" ref="G1067:K1067" si="696">IFERROR(G$1066/G$1041,0)*G1042</f>
        <v>9.6018365923589769E-3</v>
      </c>
      <c r="H1067" s="1">
        <f t="shared" si="696"/>
        <v>0</v>
      </c>
      <c r="I1067" s="1">
        <f t="shared" si="696"/>
        <v>0</v>
      </c>
      <c r="J1067" s="1">
        <f t="shared" si="696"/>
        <v>0</v>
      </c>
      <c r="K1067" s="1">
        <f t="shared" si="696"/>
        <v>0</v>
      </c>
    </row>
    <row r="1068" spans="2:11" x14ac:dyDescent="0.35">
      <c r="B1068" s="5" t="str">
        <f t="shared" si="659"/>
        <v>SPS4</v>
      </c>
      <c r="C1068" s="5" t="str">
        <f t="shared" si="691"/>
        <v>CH</v>
      </c>
      <c r="D1068" t="s">
        <v>1057</v>
      </c>
      <c r="E1068" t="s">
        <v>8</v>
      </c>
      <c r="F1068" s="1">
        <f t="shared" ref="F1068:K1068" si="697">IFERROR(F$1066/F$1041,0)*F1043</f>
        <v>0</v>
      </c>
      <c r="G1068" s="1">
        <f t="shared" si="697"/>
        <v>0</v>
      </c>
      <c r="H1068" s="1">
        <f t="shared" si="697"/>
        <v>0</v>
      </c>
      <c r="I1068" s="1">
        <f t="shared" si="697"/>
        <v>0</v>
      </c>
      <c r="J1068" s="1">
        <f t="shared" si="697"/>
        <v>0</v>
      </c>
      <c r="K1068" s="1">
        <f t="shared" si="697"/>
        <v>0</v>
      </c>
    </row>
    <row r="1069" spans="2:11" x14ac:dyDescent="0.35">
      <c r="B1069" s="5" t="str">
        <f t="shared" si="659"/>
        <v>SPS4</v>
      </c>
      <c r="C1069" s="5" t="str">
        <f t="shared" si="691"/>
        <v>CH</v>
      </c>
      <c r="D1069" t="s">
        <v>1058</v>
      </c>
      <c r="E1069" t="s">
        <v>8</v>
      </c>
      <c r="F1069" s="1">
        <f t="shared" ref="F1069:K1069" si="698">IFERROR(F$1066/F$1041,0)*F1044</f>
        <v>1.260167225147271E-3</v>
      </c>
      <c r="G1069" s="1">
        <f t="shared" si="698"/>
        <v>8.8988870553851501E-4</v>
      </c>
      <c r="H1069" s="1">
        <f t="shared" si="698"/>
        <v>0</v>
      </c>
      <c r="I1069" s="1">
        <f t="shared" si="698"/>
        <v>0</v>
      </c>
      <c r="J1069" s="1">
        <f t="shared" si="698"/>
        <v>0</v>
      </c>
      <c r="K1069" s="1">
        <f t="shared" si="698"/>
        <v>0</v>
      </c>
    </row>
    <row r="1070" spans="2:11" x14ac:dyDescent="0.35">
      <c r="B1070" s="5" t="str">
        <f t="shared" si="659"/>
        <v>SPS4</v>
      </c>
      <c r="C1070" s="5" t="str">
        <f t="shared" si="691"/>
        <v>CH</v>
      </c>
      <c r="D1070" t="s">
        <v>1059</v>
      </c>
      <c r="E1070" t="s">
        <v>8</v>
      </c>
      <c r="F1070" s="1">
        <f>F1065-F1066</f>
        <v>6.5422172263115508</v>
      </c>
      <c r="G1070" s="1">
        <f t="shared" ref="G1070:K1070" si="699">G1065-G1066</f>
        <v>7.6932431967225314</v>
      </c>
      <c r="H1070" s="1">
        <f t="shared" si="699"/>
        <v>5.87204719864034</v>
      </c>
      <c r="I1070" s="1">
        <f t="shared" si="699"/>
        <v>6.5737581937191045</v>
      </c>
      <c r="J1070" s="1">
        <f t="shared" si="699"/>
        <v>6.9450163688217401</v>
      </c>
      <c r="K1070" s="1">
        <f t="shared" si="699"/>
        <v>7.133212683806736</v>
      </c>
    </row>
    <row r="1071" spans="2:11" x14ac:dyDescent="0.35">
      <c r="B1071" s="5" t="str">
        <f t="shared" si="659"/>
        <v>SPS4</v>
      </c>
      <c r="C1071" s="5" t="str">
        <f t="shared" si="691"/>
        <v>CH</v>
      </c>
      <c r="D1071" t="s">
        <v>1060</v>
      </c>
      <c r="E1071" t="s">
        <v>8</v>
      </c>
      <c r="F1071" s="1">
        <f>F1072</f>
        <v>9.131093428232127</v>
      </c>
      <c r="G1071" s="1">
        <f t="shared" ref="G1071:K1071" si="700">G1072</f>
        <v>9.1946411318464492</v>
      </c>
      <c r="H1071" s="1">
        <f t="shared" si="700"/>
        <v>10.380494272952026</v>
      </c>
      <c r="I1071" s="1">
        <f t="shared" si="700"/>
        <v>9.7844718944667051</v>
      </c>
      <c r="J1071" s="1">
        <f t="shared" si="700"/>
        <v>7.9417636841376851</v>
      </c>
      <c r="K1071" s="1">
        <f t="shared" si="700"/>
        <v>6.2720855500647854</v>
      </c>
    </row>
    <row r="1072" spans="2:11" x14ac:dyDescent="0.35">
      <c r="B1072" s="5" t="str">
        <f t="shared" si="659"/>
        <v>SPS4</v>
      </c>
      <c r="C1072" s="5" t="str">
        <f t="shared" si="691"/>
        <v>CH</v>
      </c>
      <c r="D1072" t="s">
        <v>1061</v>
      </c>
      <c r="E1072" t="s">
        <v>8</v>
      </c>
      <c r="F1072" s="1">
        <f>[1]Residential!B$111</f>
        <v>9.131093428232127</v>
      </c>
      <c r="G1072" s="1">
        <f>[1]Residential!C$111</f>
        <v>9.1946411318464492</v>
      </c>
      <c r="H1072" s="1">
        <f>[1]Residential!D$111</f>
        <v>10.380494272952026</v>
      </c>
      <c r="I1072" s="1">
        <f>[1]Residential!E$111</f>
        <v>9.7844718944667051</v>
      </c>
      <c r="J1072" s="1">
        <f>[1]Residential!F$111</f>
        <v>7.9417636841376851</v>
      </c>
      <c r="K1072" s="1">
        <f>[1]Residential!G$111</f>
        <v>6.2720855500647854</v>
      </c>
    </row>
    <row r="1073" spans="2:11" x14ac:dyDescent="0.35">
      <c r="B1073" s="5" t="str">
        <f t="shared" si="659"/>
        <v>SPS4</v>
      </c>
      <c r="C1073" s="5" t="str">
        <f t="shared" si="691"/>
        <v>CH</v>
      </c>
      <c r="D1073" t="s">
        <v>1062</v>
      </c>
      <c r="E1073" t="s">
        <v>8</v>
      </c>
      <c r="F1073" s="1">
        <f>F1074</f>
        <v>2.6969071939763816</v>
      </c>
      <c r="G1073" s="1">
        <f t="shared" ref="G1073:K1073" si="701">G1074</f>
        <v>3.1682322718003144</v>
      </c>
      <c r="H1073" s="1">
        <f t="shared" si="701"/>
        <v>0.37023162640836738</v>
      </c>
      <c r="I1073" s="1">
        <f t="shared" si="701"/>
        <v>0.57770905961899732</v>
      </c>
      <c r="J1073" s="1">
        <f t="shared" si="701"/>
        <v>0.79174673315197752</v>
      </c>
      <c r="K1073" s="1">
        <f t="shared" si="701"/>
        <v>0.94816820819845959</v>
      </c>
    </row>
    <row r="1074" spans="2:11" x14ac:dyDescent="0.35">
      <c r="B1074" s="5" t="str">
        <f t="shared" si="659"/>
        <v>SPS4</v>
      </c>
      <c r="C1074" s="5" t="str">
        <f t="shared" si="691"/>
        <v>CH</v>
      </c>
      <c r="D1074" t="s">
        <v>1063</v>
      </c>
      <c r="E1074" t="s">
        <v>8</v>
      </c>
      <c r="F1074" s="1">
        <f>[1]Residential!B$112</f>
        <v>2.6969071939763816</v>
      </c>
      <c r="G1074" s="1">
        <f>[1]Residential!C$112</f>
        <v>3.1682322718003144</v>
      </c>
      <c r="H1074" s="1">
        <f>[1]Residential!D$112</f>
        <v>0.37023162640836738</v>
      </c>
      <c r="I1074" s="1">
        <f>[1]Residential!E$112</f>
        <v>0.57770905961899732</v>
      </c>
      <c r="J1074" s="1">
        <f>[1]Residential!F$112</f>
        <v>0.79174673315197752</v>
      </c>
      <c r="K1074" s="1">
        <f>[1]Residential!G$112</f>
        <v>0.94816820819845959</v>
      </c>
    </row>
    <row r="1075" spans="2:11" x14ac:dyDescent="0.35">
      <c r="B1075" s="5" t="str">
        <f t="shared" si="659"/>
        <v>SPS4</v>
      </c>
      <c r="C1075" s="5" t="str">
        <f t="shared" si="691"/>
        <v>CH</v>
      </c>
      <c r="D1075" t="s">
        <v>1064</v>
      </c>
      <c r="E1075" t="s">
        <v>8</v>
      </c>
      <c r="F1075" s="1">
        <f>F1076</f>
        <v>0.78534893409725881</v>
      </c>
      <c r="G1075" s="1">
        <f t="shared" ref="G1075:K1075" si="702">G1076</f>
        <v>0.94134145998754382</v>
      </c>
      <c r="H1075" s="1">
        <f t="shared" si="702"/>
        <v>3.0984101604078024E-2</v>
      </c>
      <c r="I1075" s="1">
        <f t="shared" si="702"/>
        <v>3.6093124917392229E-2</v>
      </c>
      <c r="J1075" s="1">
        <f t="shared" si="702"/>
        <v>3.9819907622915686E-2</v>
      </c>
      <c r="K1075" s="1">
        <f t="shared" si="702"/>
        <v>4.1739859052982026E-2</v>
      </c>
    </row>
    <row r="1076" spans="2:11" x14ac:dyDescent="0.35">
      <c r="B1076" s="5" t="str">
        <f t="shared" ref="B1076:B1139" si="703">B1075</f>
        <v>SPS4</v>
      </c>
      <c r="C1076" s="5" t="str">
        <f t="shared" si="691"/>
        <v>CH</v>
      </c>
      <c r="D1076" t="s">
        <v>1065</v>
      </c>
      <c r="E1076" t="s">
        <v>8</v>
      </c>
      <c r="F1076" s="1">
        <f>[1]Residential!B$113</f>
        <v>0.78534893409725881</v>
      </c>
      <c r="G1076" s="1">
        <f>[1]Residential!C$113</f>
        <v>0.94134145998754382</v>
      </c>
      <c r="H1076" s="1">
        <f>[1]Residential!D$113</f>
        <v>3.0984101604078024E-2</v>
      </c>
      <c r="I1076" s="1">
        <f>[1]Residential!E$113</f>
        <v>3.6093124917392229E-2</v>
      </c>
      <c r="J1076" s="1">
        <f>[1]Residential!F$113</f>
        <v>3.9819907622915686E-2</v>
      </c>
      <c r="K1076" s="1">
        <f>[1]Residential!G$113</f>
        <v>4.1739859052982026E-2</v>
      </c>
    </row>
    <row r="1077" spans="2:11" x14ac:dyDescent="0.35">
      <c r="B1077" s="5" t="str">
        <f t="shared" si="703"/>
        <v>SPS4</v>
      </c>
      <c r="C1077" s="5" t="str">
        <f t="shared" si="691"/>
        <v>CH</v>
      </c>
      <c r="D1077" t="s">
        <v>1066</v>
      </c>
      <c r="E1077" t="s">
        <v>8</v>
      </c>
      <c r="F1077" s="1">
        <f>F1078</f>
        <v>0</v>
      </c>
      <c r="G1077" s="1">
        <f t="shared" ref="G1077:K1077" si="704">G1078</f>
        <v>0</v>
      </c>
      <c r="H1077" s="1">
        <f t="shared" si="704"/>
        <v>0</v>
      </c>
      <c r="I1077" s="1">
        <f t="shared" si="704"/>
        <v>0</v>
      </c>
      <c r="J1077" s="1">
        <f t="shared" si="704"/>
        <v>0</v>
      </c>
      <c r="K1077" s="1">
        <f t="shared" si="704"/>
        <v>0</v>
      </c>
    </row>
    <row r="1078" spans="2:11" x14ac:dyDescent="0.35">
      <c r="B1078" s="5" t="str">
        <f t="shared" si="703"/>
        <v>SPS4</v>
      </c>
      <c r="C1078" s="5" t="str">
        <f t="shared" si="691"/>
        <v>CH</v>
      </c>
      <c r="D1078" t="s">
        <v>1067</v>
      </c>
      <c r="E1078" t="s">
        <v>8</v>
      </c>
      <c r="F1078" s="1">
        <f>[1]Residential!B$114</f>
        <v>0</v>
      </c>
      <c r="G1078" s="1">
        <f>[1]Residential!C$114</f>
        <v>0</v>
      </c>
      <c r="H1078" s="1">
        <f>[1]Residential!D$114</f>
        <v>0</v>
      </c>
      <c r="I1078" s="1">
        <f>[1]Residential!E$114</f>
        <v>0</v>
      </c>
      <c r="J1078" s="1">
        <f>[1]Residential!F$114</f>
        <v>0</v>
      </c>
      <c r="K1078" s="1">
        <f>[1]Residential!G$114</f>
        <v>0</v>
      </c>
    </row>
    <row r="1079" spans="2:11" x14ac:dyDescent="0.35">
      <c r="B1079" s="5" t="str">
        <f t="shared" si="703"/>
        <v>SPS4</v>
      </c>
      <c r="C1079" s="5" t="str">
        <f t="shared" si="691"/>
        <v>CH</v>
      </c>
      <c r="D1079" t="s">
        <v>1068</v>
      </c>
      <c r="E1079" t="s">
        <v>8</v>
      </c>
      <c r="F1079" s="1">
        <f>[1]Residential!B$10-[1]Residential!B$223</f>
        <v>6.6195290092463749E-2</v>
      </c>
      <c r="G1079" s="1">
        <f>[1]Residential!C$10-[1]Residential!C$223</f>
        <v>7.8423472515206445</v>
      </c>
      <c r="H1079" s="1">
        <f>[1]Residential!D$10-[1]Residential!D$223</f>
        <v>5.1218937292839986</v>
      </c>
      <c r="I1079" s="1">
        <f>[1]Residential!E$10-[1]Residential!E$223</f>
        <v>9.2433156419320444</v>
      </c>
      <c r="J1079" s="1">
        <f>[1]Residential!F$10-[1]Residential!F$223</f>
        <v>16.9920841227338</v>
      </c>
      <c r="K1079" s="1">
        <f>[1]Residential!G$10-[1]Residential!G$223</f>
        <v>24.245289952583885</v>
      </c>
    </row>
    <row r="1080" spans="2:11" x14ac:dyDescent="0.35">
      <c r="B1080" s="5" t="str">
        <f t="shared" si="703"/>
        <v>SPS4</v>
      </c>
      <c r="C1080" s="5" t="str">
        <f t="shared" si="691"/>
        <v>CH</v>
      </c>
      <c r="D1080" t="s">
        <v>1069</v>
      </c>
      <c r="E1080" t="s">
        <v>8</v>
      </c>
      <c r="F1080" s="1">
        <f>[1]Residential!B$224</f>
        <v>26.978426325568588</v>
      </c>
      <c r="G1080" s="1">
        <f>[1]Residential!C$224</f>
        <v>25.930243661473828</v>
      </c>
      <c r="H1080" s="1">
        <f>[1]Residential!D$224</f>
        <v>21.653732923653337</v>
      </c>
      <c r="I1080" s="1">
        <f>[1]Residential!E$224</f>
        <v>22.581120469358364</v>
      </c>
      <c r="J1080" s="1">
        <f>[1]Residential!F$224</f>
        <v>25.585552077016171</v>
      </c>
      <c r="K1080" s="1">
        <f>[1]Residential!G$224</f>
        <v>29.065137236560187</v>
      </c>
    </row>
    <row r="1081" spans="2:11" x14ac:dyDescent="0.35">
      <c r="B1081" s="5" t="str">
        <f t="shared" si="703"/>
        <v>SPS4</v>
      </c>
      <c r="C1081" s="5" t="str">
        <f t="shared" si="691"/>
        <v>CH</v>
      </c>
      <c r="D1081" t="s">
        <v>1119</v>
      </c>
      <c r="E1081" t="s">
        <v>8</v>
      </c>
      <c r="F1081" s="1">
        <f>SUM(F1082:F1083)</f>
        <v>9.884656537010434</v>
      </c>
      <c r="G1081" s="1">
        <f t="shared" ref="G1081:K1081" si="705">SUM(G1082:G1083)</f>
        <v>10.604196004893097</v>
      </c>
      <c r="H1081" s="1">
        <f t="shared" si="705"/>
        <v>7.5619361719686236</v>
      </c>
      <c r="I1081" s="1">
        <f t="shared" si="705"/>
        <v>9.1652196632853435</v>
      </c>
      <c r="J1081" s="1">
        <f t="shared" si="705"/>
        <v>12.146409586801054</v>
      </c>
      <c r="K1081" s="1">
        <f t="shared" si="705"/>
        <v>15.134594971764729</v>
      </c>
    </row>
    <row r="1082" spans="2:11" x14ac:dyDescent="0.35">
      <c r="B1082" s="5" t="str">
        <f t="shared" si="703"/>
        <v>SPS4</v>
      </c>
      <c r="C1082" s="5" t="str">
        <f t="shared" si="691"/>
        <v>CH</v>
      </c>
      <c r="D1082" t="s">
        <v>1120</v>
      </c>
      <c r="E1082" t="s">
        <v>8</v>
      </c>
      <c r="F1082" s="1">
        <f>[1]Residential!B$231-F1056</f>
        <v>6.6447289260496358</v>
      </c>
      <c r="G1082" s="1">
        <f>[1]Residential!C$231-G1056</f>
        <v>6.9687138449708081</v>
      </c>
      <c r="H1082" s="1">
        <f>[1]Residential!D$231-H1056</f>
        <v>2.8215217373917607</v>
      </c>
      <c r="I1082" s="1">
        <f>[1]Residential!E$231-I1056</f>
        <v>2.2281165781479131</v>
      </c>
      <c r="J1082" s="1">
        <f>[1]Residential!F$231-J1056</f>
        <v>1.8868340458911121</v>
      </c>
      <c r="K1082" s="1">
        <f>[1]Residential!G$231-K1056</f>
        <v>1.6959024514411163</v>
      </c>
    </row>
    <row r="1083" spans="2:11" x14ac:dyDescent="0.35">
      <c r="B1083" s="5" t="str">
        <f t="shared" si="703"/>
        <v>SPS4</v>
      </c>
      <c r="C1083" s="5" t="str">
        <f t="shared" si="691"/>
        <v>CH</v>
      </c>
      <c r="D1083" t="s">
        <v>1121</v>
      </c>
      <c r="E1083" t="s">
        <v>8</v>
      </c>
      <c r="F1083" s="1">
        <f>[1]Residential!B$233-F1057</f>
        <v>3.2399276109607982</v>
      </c>
      <c r="G1083" s="1">
        <f>[1]Residential!C$233-G1057</f>
        <v>3.6354821599222902</v>
      </c>
      <c r="H1083" s="1">
        <f>[1]Residential!D$233-H1057</f>
        <v>4.7404144345768628</v>
      </c>
      <c r="I1083" s="1">
        <f>[1]Residential!E$233-I1057</f>
        <v>6.93710308513743</v>
      </c>
      <c r="J1083" s="1">
        <f>[1]Residential!F$233-J1057</f>
        <v>10.259575540909943</v>
      </c>
      <c r="K1083" s="1">
        <f>[1]Residential!G$233-K1057</f>
        <v>13.438692520323613</v>
      </c>
    </row>
    <row r="1084" spans="2:11" x14ac:dyDescent="0.35">
      <c r="B1084" s="5" t="str">
        <f t="shared" si="703"/>
        <v>SPS4</v>
      </c>
      <c r="C1084" s="5" t="str">
        <f t="shared" si="691"/>
        <v>CH</v>
      </c>
      <c r="D1084" t="s">
        <v>1070</v>
      </c>
      <c r="E1084" t="s">
        <v>8</v>
      </c>
      <c r="F1084" s="1">
        <f>F1085</f>
        <v>6.9844681509387456</v>
      </c>
      <c r="G1084" s="1">
        <f t="shared" ref="G1084:K1084" si="706">G1085</f>
        <v>5.5425916496897685</v>
      </c>
      <c r="H1084" s="1">
        <f t="shared" si="706"/>
        <v>4.6177014430621455</v>
      </c>
      <c r="I1084" s="1">
        <f t="shared" si="706"/>
        <v>3.0589427916752605</v>
      </c>
      <c r="J1084" s="1">
        <f t="shared" si="706"/>
        <v>1.7720114609368345</v>
      </c>
      <c r="K1084" s="1">
        <f t="shared" si="706"/>
        <v>0.8312156782787703</v>
      </c>
    </row>
    <row r="1085" spans="2:11" x14ac:dyDescent="0.35">
      <c r="B1085" s="5" t="str">
        <f t="shared" si="703"/>
        <v>SPS4</v>
      </c>
      <c r="C1085" s="5" t="str">
        <f t="shared" si="691"/>
        <v>CH</v>
      </c>
      <c r="D1085" t="s">
        <v>1071</v>
      </c>
      <c r="E1085" t="s">
        <v>8</v>
      </c>
      <c r="F1085" s="1">
        <f>[1]Residential!B$234-F1059</f>
        <v>6.9844681509387456</v>
      </c>
      <c r="G1085" s="1">
        <f>[1]Residential!C$234-G1059</f>
        <v>5.5425916496897685</v>
      </c>
      <c r="H1085" s="1">
        <f>[1]Residential!D$234-H1059</f>
        <v>4.6177014430621455</v>
      </c>
      <c r="I1085" s="1">
        <f>[1]Residential!E$234-I1059</f>
        <v>3.0589427916752605</v>
      </c>
      <c r="J1085" s="1">
        <f>[1]Residential!F$234-J1059</f>
        <v>1.7720114609368345</v>
      </c>
      <c r="K1085" s="1">
        <f>[1]Residential!G$234-K1059</f>
        <v>0.8312156782787703</v>
      </c>
    </row>
    <row r="1086" spans="2:11" x14ac:dyDescent="0.35">
      <c r="B1086" s="5" t="str">
        <f t="shared" si="703"/>
        <v>SPS4</v>
      </c>
      <c r="C1086" s="5" t="str">
        <f t="shared" si="691"/>
        <v>CH</v>
      </c>
      <c r="D1086" t="s">
        <v>1072</v>
      </c>
      <c r="E1086" t="s">
        <v>8</v>
      </c>
      <c r="F1086" s="1">
        <f>SUM(F1087:F1088)</f>
        <v>6.3804613165361772</v>
      </c>
      <c r="G1086" s="1">
        <f t="shared" ref="G1086:K1086" si="707">SUM(G1087:G1088)</f>
        <v>5.541226533892754</v>
      </c>
      <c r="H1086" s="1">
        <f t="shared" si="707"/>
        <v>6.3431143202818578</v>
      </c>
      <c r="I1086" s="1">
        <f t="shared" si="707"/>
        <v>6.6842467437716007</v>
      </c>
      <c r="J1086" s="1">
        <f t="shared" si="707"/>
        <v>7.3366000623351724</v>
      </c>
      <c r="K1086" s="1">
        <f t="shared" si="707"/>
        <v>8.1894862997552966</v>
      </c>
    </row>
    <row r="1087" spans="2:11" x14ac:dyDescent="0.35">
      <c r="B1087" s="5" t="str">
        <f t="shared" si="703"/>
        <v>SPS4</v>
      </c>
      <c r="C1087" s="5" t="str">
        <f t="shared" si="691"/>
        <v>CH</v>
      </c>
      <c r="D1087" t="s">
        <v>1073</v>
      </c>
      <c r="E1087" t="s">
        <v>8</v>
      </c>
      <c r="F1087" s="1">
        <f>[1]Residential!B$235-F1061</f>
        <v>6.3804613165361772</v>
      </c>
      <c r="G1087" s="1">
        <f>[1]Residential!C$235-G1061</f>
        <v>5.541226533892754</v>
      </c>
      <c r="H1087" s="1">
        <f>[1]Residential!D$235-H1061</f>
        <v>5.4364686438727077</v>
      </c>
      <c r="I1087" s="1">
        <f>[1]Residential!E$235-I1061</f>
        <v>4.462335499446116</v>
      </c>
      <c r="J1087" s="1">
        <f>[1]Residential!F$235-J1061</f>
        <v>3.08300090273557</v>
      </c>
      <c r="K1087" s="1">
        <f>[1]Residential!G$235-K1061</f>
        <v>2.0069205809914141</v>
      </c>
    </row>
    <row r="1088" spans="2:11" x14ac:dyDescent="0.35">
      <c r="B1088" s="5" t="str">
        <f t="shared" si="703"/>
        <v>SPS4</v>
      </c>
      <c r="C1088" s="5" t="str">
        <f t="shared" si="691"/>
        <v>CH</v>
      </c>
      <c r="D1088" t="s">
        <v>1074</v>
      </c>
      <c r="E1088" t="s">
        <v>8</v>
      </c>
      <c r="F1088" s="1">
        <f>[1]Residential!B$236-F1062</f>
        <v>0</v>
      </c>
      <c r="G1088" s="1">
        <f>[1]Residential!C$236-G1062</f>
        <v>0</v>
      </c>
      <c r="H1088" s="1">
        <f>[1]Residential!D$236-H1062</f>
        <v>0.90664567640915017</v>
      </c>
      <c r="I1088" s="1">
        <f>[1]Residential!E$236-I1062</f>
        <v>2.2219112443254847</v>
      </c>
      <c r="J1088" s="1">
        <f>[1]Residential!F$236-J1062</f>
        <v>4.2535991595996023</v>
      </c>
      <c r="K1088" s="1">
        <f>[1]Residential!G$236-K1062</f>
        <v>6.1825657187638825</v>
      </c>
    </row>
    <row r="1089" spans="2:11" x14ac:dyDescent="0.35">
      <c r="B1089" s="5" t="str">
        <f t="shared" si="703"/>
        <v>SPS4</v>
      </c>
      <c r="C1089" s="5" t="str">
        <f t="shared" si="691"/>
        <v>CH</v>
      </c>
      <c r="D1089" t="s">
        <v>1075</v>
      </c>
      <c r="E1089" t="s">
        <v>8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</row>
    <row r="1090" spans="2:11" x14ac:dyDescent="0.35">
      <c r="B1090" s="5" t="str">
        <f t="shared" si="703"/>
        <v>SPS4</v>
      </c>
      <c r="C1090" s="5" t="str">
        <f t="shared" si="691"/>
        <v>CH</v>
      </c>
      <c r="D1090" t="s">
        <v>1076</v>
      </c>
      <c r="E1090" t="s">
        <v>8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</row>
    <row r="1091" spans="2:11" x14ac:dyDescent="0.35">
      <c r="B1091" s="5" t="str">
        <f t="shared" si="703"/>
        <v>SPS4</v>
      </c>
      <c r="C1091" s="5" t="str">
        <f t="shared" si="691"/>
        <v>CH</v>
      </c>
      <c r="D1091" t="s">
        <v>1077</v>
      </c>
      <c r="E1091" t="s">
        <v>8</v>
      </c>
      <c r="F1091" s="1">
        <f>SUM(F1092,F1096)</f>
        <v>1.3170648198061452</v>
      </c>
      <c r="G1091" s="1">
        <f t="shared" ref="G1091:K1091" si="708">SUM(G1092,G1096)</f>
        <v>1.4633782952928551</v>
      </c>
      <c r="H1091" s="1">
        <f t="shared" si="708"/>
        <v>0.9504158985710216</v>
      </c>
      <c r="I1091" s="1">
        <f t="shared" si="708"/>
        <v>1.1686681663559959</v>
      </c>
      <c r="J1091" s="1">
        <f t="shared" si="708"/>
        <v>1.4374908791123051</v>
      </c>
      <c r="K1091" s="1">
        <f t="shared" si="708"/>
        <v>1.6688105816257526</v>
      </c>
    </row>
    <row r="1092" spans="2:11" x14ac:dyDescent="0.35">
      <c r="B1092" s="5" t="str">
        <f t="shared" si="703"/>
        <v>SPS4</v>
      </c>
      <c r="C1092" s="5" t="str">
        <f t="shared" si="691"/>
        <v>CH</v>
      </c>
      <c r="D1092" t="s">
        <v>1078</v>
      </c>
      <c r="E1092" t="s">
        <v>8</v>
      </c>
      <c r="F1092" s="1">
        <f>[1]Residential!B$238-F1066</f>
        <v>1.5564835780918912E-2</v>
      </c>
      <c r="G1092" s="1">
        <f>[1]Residential!C$238-G1066</f>
        <v>1.9929765544284203E-3</v>
      </c>
      <c r="H1092" s="1">
        <f>[1]Residential!D$238-H1066</f>
        <v>0</v>
      </c>
      <c r="I1092" s="1">
        <f>[1]Residential!E$238-I1066</f>
        <v>0</v>
      </c>
      <c r="J1092" s="1">
        <f>[1]Residential!F$238-J1066</f>
        <v>0</v>
      </c>
      <c r="K1092" s="1">
        <f>[1]Residential!G$238-K1066</f>
        <v>0</v>
      </c>
    </row>
    <row r="1093" spans="2:11" x14ac:dyDescent="0.35">
      <c r="B1093" s="5" t="str">
        <f t="shared" si="703"/>
        <v>SPS4</v>
      </c>
      <c r="C1093" s="5" t="str">
        <f t="shared" si="691"/>
        <v>CH</v>
      </c>
      <c r="D1093" t="s">
        <v>1079</v>
      </c>
      <c r="E1093" t="s">
        <v>8</v>
      </c>
      <c r="F1093" s="1">
        <f>IFERROR(F$1092/F$1041,0)*F1042</f>
        <v>1.5314139791063656E-2</v>
      </c>
      <c r="G1093" s="1">
        <f t="shared" ref="G1093:K1095" si="709">IFERROR(G$1092/G$1041,0)*G1042</f>
        <v>1.8239359747494683E-3</v>
      </c>
      <c r="H1093" s="1">
        <f t="shared" si="709"/>
        <v>0</v>
      </c>
      <c r="I1093" s="1">
        <f t="shared" si="709"/>
        <v>0</v>
      </c>
      <c r="J1093" s="1">
        <f t="shared" si="709"/>
        <v>0</v>
      </c>
      <c r="K1093" s="1">
        <f t="shared" si="709"/>
        <v>0</v>
      </c>
    </row>
    <row r="1094" spans="2:11" x14ac:dyDescent="0.35">
      <c r="B1094" s="5" t="str">
        <f t="shared" si="703"/>
        <v>SPS4</v>
      </c>
      <c r="C1094" s="5" t="str">
        <f t="shared" si="691"/>
        <v>CH</v>
      </c>
      <c r="D1094" t="s">
        <v>1080</v>
      </c>
      <c r="E1094" t="s">
        <v>8</v>
      </c>
      <c r="F1094" s="1">
        <f>IFERROR(F$1092/F$1041,0)*F1043</f>
        <v>0</v>
      </c>
      <c r="G1094" s="1">
        <f t="shared" si="709"/>
        <v>0</v>
      </c>
      <c r="H1094" s="1">
        <f t="shared" si="709"/>
        <v>0</v>
      </c>
      <c r="I1094" s="1">
        <f t="shared" si="709"/>
        <v>0</v>
      </c>
      <c r="J1094" s="1">
        <f t="shared" si="709"/>
        <v>0</v>
      </c>
      <c r="K1094" s="1">
        <f t="shared" si="709"/>
        <v>0</v>
      </c>
    </row>
    <row r="1095" spans="2:11" x14ac:dyDescent="0.35">
      <c r="B1095" s="5" t="str">
        <f t="shared" si="703"/>
        <v>SPS4</v>
      </c>
      <c r="C1095" s="5" t="str">
        <f t="shared" si="691"/>
        <v>CH</v>
      </c>
      <c r="D1095" t="s">
        <v>1081</v>
      </c>
      <c r="E1095" t="s">
        <v>8</v>
      </c>
      <c r="F1095" s="1">
        <f>IFERROR(F$1092/F$1041,0)*F1044</f>
        <v>2.5069598985525673E-4</v>
      </c>
      <c r="G1095" s="1">
        <f t="shared" si="709"/>
        <v>1.6904057967895197E-4</v>
      </c>
      <c r="H1095" s="1">
        <f t="shared" si="709"/>
        <v>0</v>
      </c>
      <c r="I1095" s="1">
        <f t="shared" si="709"/>
        <v>0</v>
      </c>
      <c r="J1095" s="1">
        <f t="shared" si="709"/>
        <v>0</v>
      </c>
      <c r="K1095" s="1">
        <f t="shared" si="709"/>
        <v>0</v>
      </c>
    </row>
    <row r="1096" spans="2:11" x14ac:dyDescent="0.35">
      <c r="B1096" s="5" t="str">
        <f t="shared" si="703"/>
        <v>SPS4</v>
      </c>
      <c r="C1096" s="5" t="str">
        <f t="shared" si="691"/>
        <v>CH</v>
      </c>
      <c r="D1096" t="s">
        <v>1082</v>
      </c>
      <c r="E1096" t="s">
        <v>8</v>
      </c>
      <c r="F1096" s="1">
        <f>[1]Residential!B$239-F1070</f>
        <v>1.3014999840252264</v>
      </c>
      <c r="G1096" s="1">
        <f>[1]Residential!C$239-G1070</f>
        <v>1.4613853187384267</v>
      </c>
      <c r="H1096" s="1">
        <f>[1]Residential!D$239-H1070</f>
        <v>0.9504158985710216</v>
      </c>
      <c r="I1096" s="1">
        <f>[1]Residential!E$239-I1070</f>
        <v>1.1686681663559959</v>
      </c>
      <c r="J1096" s="1">
        <f>[1]Residential!F$239-J1070</f>
        <v>1.4374908791123051</v>
      </c>
      <c r="K1096" s="1">
        <f>[1]Residential!G$239-K1070</f>
        <v>1.6688105816257526</v>
      </c>
    </row>
    <row r="1097" spans="2:11" x14ac:dyDescent="0.35">
      <c r="B1097" s="5" t="str">
        <f t="shared" si="703"/>
        <v>SPS4</v>
      </c>
      <c r="C1097" s="5" t="str">
        <f t="shared" si="691"/>
        <v>CH</v>
      </c>
      <c r="D1097" t="s">
        <v>1083</v>
      </c>
      <c r="E1097" t="s">
        <v>8</v>
      </c>
      <c r="F1097" s="1">
        <f>F1098</f>
        <v>0.52048282547138314</v>
      </c>
      <c r="G1097" s="1">
        <f t="shared" ref="G1097:K1097" si="710">G1098</f>
        <v>0.59724678137668263</v>
      </c>
      <c r="H1097" s="1">
        <f t="shared" si="710"/>
        <v>1.1897025287863876</v>
      </c>
      <c r="I1097" s="1">
        <f t="shared" si="710"/>
        <v>1.2834517175126319</v>
      </c>
      <c r="J1097" s="1">
        <f t="shared" si="710"/>
        <v>1.3648938078902209</v>
      </c>
      <c r="K1097" s="1">
        <f t="shared" si="710"/>
        <v>1.42035993799065</v>
      </c>
    </row>
    <row r="1098" spans="2:11" x14ac:dyDescent="0.35">
      <c r="B1098" s="5" t="str">
        <f t="shared" si="703"/>
        <v>SPS4</v>
      </c>
      <c r="C1098" s="5" t="str">
        <f t="shared" si="691"/>
        <v>CH</v>
      </c>
      <c r="D1098" t="s">
        <v>1084</v>
      </c>
      <c r="E1098" t="s">
        <v>8</v>
      </c>
      <c r="F1098" s="1">
        <f>[1]Residential!B$240-F1072</f>
        <v>0.52048282547138314</v>
      </c>
      <c r="G1098" s="1">
        <f>[1]Residential!C$240-G1072</f>
        <v>0.59724678137668263</v>
      </c>
      <c r="H1098" s="1">
        <f>[1]Residential!D$240-H1072</f>
        <v>1.1897025287863876</v>
      </c>
      <c r="I1098" s="1">
        <f>[1]Residential!E$240-I1072</f>
        <v>1.2834517175126319</v>
      </c>
      <c r="J1098" s="1">
        <f>[1]Residential!F$240-J1072</f>
        <v>1.3648938078902209</v>
      </c>
      <c r="K1098" s="1">
        <f>[1]Residential!G$240-K1072</f>
        <v>1.42035993799065</v>
      </c>
    </row>
    <row r="1099" spans="2:11" x14ac:dyDescent="0.35">
      <c r="B1099" s="5" t="str">
        <f t="shared" si="703"/>
        <v>SPS4</v>
      </c>
      <c r="C1099" s="5" t="str">
        <f t="shared" si="691"/>
        <v>CH</v>
      </c>
      <c r="D1099" t="s">
        <v>1085</v>
      </c>
      <c r="E1099" t="s">
        <v>8</v>
      </c>
      <c r="F1099" s="1">
        <f>F1100</f>
        <v>0.16980465114584886</v>
      </c>
      <c r="G1099" s="1">
        <f t="shared" ref="G1099" si="711">G1100</f>
        <v>0.19484084758943743</v>
      </c>
      <c r="H1099" s="1">
        <f t="shared" ref="H1099" si="712">H1100</f>
        <v>8.570261102216753E-2</v>
      </c>
      <c r="I1099" s="1">
        <f t="shared" ref="I1099" si="713">I1100</f>
        <v>0.14585475366336431</v>
      </c>
      <c r="J1099" s="1">
        <f t="shared" ref="J1099" si="714">J1100</f>
        <v>0.23634130961665767</v>
      </c>
      <c r="K1099" s="1">
        <f t="shared" ref="K1099" si="715">K1100</f>
        <v>0.32071595325361313</v>
      </c>
    </row>
    <row r="1100" spans="2:11" x14ac:dyDescent="0.35">
      <c r="B1100" s="5" t="str">
        <f t="shared" si="703"/>
        <v>SPS4</v>
      </c>
      <c r="C1100" s="5" t="str">
        <f t="shared" si="691"/>
        <v>CH</v>
      </c>
      <c r="D1100" t="s">
        <v>1086</v>
      </c>
      <c r="E1100" t="s">
        <v>8</v>
      </c>
      <c r="F1100" s="1">
        <f>[1]Residential!B$241-F1074</f>
        <v>0.16980465114584886</v>
      </c>
      <c r="G1100" s="1">
        <f>[1]Residential!C$241-G1074</f>
        <v>0.19484084758943743</v>
      </c>
      <c r="H1100" s="1">
        <f>[1]Residential!D$241-H1074</f>
        <v>8.570261102216753E-2</v>
      </c>
      <c r="I1100" s="1">
        <f>[1]Residential!E$241-I1074</f>
        <v>0.14585475366336431</v>
      </c>
      <c r="J1100" s="1">
        <f>[1]Residential!F$241-J1074</f>
        <v>0.23634130961665767</v>
      </c>
      <c r="K1100" s="1">
        <f>[1]Residential!G$241-K1074</f>
        <v>0.32071595325361313</v>
      </c>
    </row>
    <row r="1101" spans="2:11" x14ac:dyDescent="0.35">
      <c r="B1101" s="5" t="str">
        <f t="shared" si="703"/>
        <v>SPS4</v>
      </c>
      <c r="C1101" s="5" t="str">
        <f t="shared" si="691"/>
        <v>CH</v>
      </c>
      <c r="D1101" t="s">
        <v>1087</v>
      </c>
      <c r="E1101" t="s">
        <v>8</v>
      </c>
      <c r="F1101" s="1">
        <f>F1102</f>
        <v>1.7214880246598512</v>
      </c>
      <c r="G1101" s="1">
        <f t="shared" ref="G1101" si="716">G1102</f>
        <v>1.9867635487392341</v>
      </c>
      <c r="H1101" s="1">
        <f t="shared" ref="H1101" si="717">H1102</f>
        <v>0.90515994996113947</v>
      </c>
      <c r="I1101" s="1">
        <f t="shared" ref="I1101" si="718">I1102</f>
        <v>1.0747366330941632</v>
      </c>
      <c r="J1101" s="1">
        <f t="shared" ref="J1101" si="719">J1102</f>
        <v>1.2918049703239249</v>
      </c>
      <c r="K1101" s="1">
        <f t="shared" ref="K1101" si="720">K1102</f>
        <v>1.4999538138913724</v>
      </c>
    </row>
    <row r="1102" spans="2:11" x14ac:dyDescent="0.35">
      <c r="B1102" s="5" t="str">
        <f t="shared" si="703"/>
        <v>SPS4</v>
      </c>
      <c r="C1102" s="5" t="str">
        <f t="shared" si="691"/>
        <v>CH</v>
      </c>
      <c r="D1102" t="s">
        <v>1088</v>
      </c>
      <c r="E1102" t="s">
        <v>8</v>
      </c>
      <c r="F1102" s="1">
        <f>[1]Residential!B$242-F1076</f>
        <v>1.7214880246598512</v>
      </c>
      <c r="G1102" s="1">
        <f>[1]Residential!C$242-G1076</f>
        <v>1.9867635487392341</v>
      </c>
      <c r="H1102" s="1">
        <f>[1]Residential!D$242-H1076</f>
        <v>0.90515994996113947</v>
      </c>
      <c r="I1102" s="1">
        <f>[1]Residential!E$242-I1076</f>
        <v>1.0747366330941632</v>
      </c>
      <c r="J1102" s="1">
        <f>[1]Residential!F$242-J1076</f>
        <v>1.2918049703239249</v>
      </c>
      <c r="K1102" s="1">
        <f>[1]Residential!G$242-K1076</f>
        <v>1.4999538138913724</v>
      </c>
    </row>
    <row r="1103" spans="2:11" x14ac:dyDescent="0.35">
      <c r="B1103" s="5" t="str">
        <f t="shared" si="703"/>
        <v>SPS4</v>
      </c>
      <c r="C1103" s="5" t="str">
        <f t="shared" si="691"/>
        <v>CH</v>
      </c>
      <c r="D1103" t="s">
        <v>1089</v>
      </c>
      <c r="E1103" t="s">
        <v>8</v>
      </c>
      <c r="F1103" s="1">
        <f>F1104</f>
        <v>0</v>
      </c>
      <c r="G1103" s="1">
        <f t="shared" ref="G1103" si="721">G1104</f>
        <v>0</v>
      </c>
      <c r="H1103" s="1">
        <f t="shared" ref="H1103" si="722">H1104</f>
        <v>0</v>
      </c>
      <c r="I1103" s="1">
        <f t="shared" ref="I1103" si="723">I1104</f>
        <v>0</v>
      </c>
      <c r="J1103" s="1">
        <f t="shared" ref="J1103" si="724">J1104</f>
        <v>0</v>
      </c>
      <c r="K1103" s="1">
        <f t="shared" ref="K1103" si="725">K1104</f>
        <v>0</v>
      </c>
    </row>
    <row r="1104" spans="2:11" x14ac:dyDescent="0.35">
      <c r="B1104" s="5" t="str">
        <f t="shared" si="703"/>
        <v>SPS4</v>
      </c>
      <c r="C1104" s="5" t="str">
        <f t="shared" si="691"/>
        <v>CH</v>
      </c>
      <c r="D1104" t="s">
        <v>1090</v>
      </c>
      <c r="E1104" t="s">
        <v>8</v>
      </c>
      <c r="F1104" s="1">
        <f>[1]Residential!B$243-F1078</f>
        <v>0</v>
      </c>
      <c r="G1104" s="1">
        <f>[1]Residential!C$243-G1078</f>
        <v>0</v>
      </c>
      <c r="H1104" s="1">
        <f>[1]Residential!D$243-H1078</f>
        <v>0</v>
      </c>
      <c r="I1104" s="1">
        <f>[1]Residential!E$243-I1078</f>
        <v>0</v>
      </c>
      <c r="J1104" s="1">
        <f>[1]Residential!F$243-J1078</f>
        <v>0</v>
      </c>
      <c r="K1104" s="1">
        <f>[1]Residential!G$243-K1078</f>
        <v>0</v>
      </c>
    </row>
    <row r="1105" spans="2:11" x14ac:dyDescent="0.35">
      <c r="B1105" s="5" t="str">
        <f t="shared" si="703"/>
        <v>SPS4</v>
      </c>
      <c r="C1105" s="5" t="str">
        <f t="shared" si="691"/>
        <v>CH</v>
      </c>
      <c r="D1105" t="s">
        <v>1091</v>
      </c>
      <c r="E1105" t="s">
        <v>8</v>
      </c>
      <c r="F1105" s="1">
        <f>[1]Residential!B$244-F1079</f>
        <v>0</v>
      </c>
      <c r="G1105" s="1">
        <f>[1]Residential!C$244-G1079</f>
        <v>0</v>
      </c>
      <c r="H1105" s="1">
        <f>[1]Residential!D$244-H1079</f>
        <v>0</v>
      </c>
      <c r="I1105" s="1">
        <f>[1]Residential!E$244-I1079</f>
        <v>0</v>
      </c>
      <c r="J1105" s="1">
        <f>[1]Residential!F$244-J1079</f>
        <v>0</v>
      </c>
      <c r="K1105" s="1">
        <f>[1]Residential!G$244-K1079</f>
        <v>0</v>
      </c>
    </row>
    <row r="1106" spans="2:11" x14ac:dyDescent="0.35">
      <c r="B1106" s="5" t="str">
        <f t="shared" si="703"/>
        <v>SPS4</v>
      </c>
      <c r="C1106" s="5" t="str">
        <f t="shared" ref="C1106:C1133" si="726">C1105</f>
        <v>CH</v>
      </c>
      <c r="D1106" s="2" t="s">
        <v>1092</v>
      </c>
      <c r="E1106" s="2" t="s">
        <v>240</v>
      </c>
      <c r="F1106" t="s">
        <v>292</v>
      </c>
      <c r="G1106" t="s">
        <v>292</v>
      </c>
      <c r="H1106" t="s">
        <v>292</v>
      </c>
      <c r="I1106" t="s">
        <v>292</v>
      </c>
      <c r="J1106" t="s">
        <v>292</v>
      </c>
      <c r="K1106" t="s">
        <v>292</v>
      </c>
    </row>
    <row r="1107" spans="2:11" x14ac:dyDescent="0.35">
      <c r="B1107" s="5" t="str">
        <f t="shared" si="703"/>
        <v>SPS4</v>
      </c>
      <c r="C1107" s="5" t="str">
        <f>C1106</f>
        <v>CH</v>
      </c>
      <c r="D1107" t="s">
        <v>1122</v>
      </c>
      <c r="E1107" t="s">
        <v>240</v>
      </c>
      <c r="F1107" s="4">
        <f>IFERROR(F1056/F973,"-")</f>
        <v>0.94999999999999951</v>
      </c>
      <c r="G1107" s="4">
        <f t="shared" ref="G1107:K1108" si="727">IFERROR(G1056/G973,"-")</f>
        <v>0.95</v>
      </c>
      <c r="H1107" s="4">
        <f t="shared" si="727"/>
        <v>0.91795759410479072</v>
      </c>
      <c r="I1107" s="4">
        <f t="shared" si="727"/>
        <v>0.92345970551682799</v>
      </c>
      <c r="J1107" s="4">
        <f t="shared" si="727"/>
        <v>0.94822897316467492</v>
      </c>
      <c r="K1107" s="4">
        <f t="shared" si="727"/>
        <v>0.94955530137933319</v>
      </c>
    </row>
    <row r="1108" spans="2:11" x14ac:dyDescent="0.35">
      <c r="B1108" s="5" t="str">
        <f t="shared" si="703"/>
        <v>SPS4</v>
      </c>
      <c r="C1108" s="5" t="str">
        <f t="shared" si="726"/>
        <v>CH</v>
      </c>
      <c r="D1108" t="s">
        <v>1123</v>
      </c>
      <c r="E1108" t="s">
        <v>240</v>
      </c>
      <c r="F1108" s="4">
        <f>IFERROR(F1057/F974,"-")</f>
        <v>3.2000000042964878</v>
      </c>
      <c r="G1108" s="4">
        <f t="shared" si="727"/>
        <v>3.2533333377357407</v>
      </c>
      <c r="H1108" s="4">
        <f t="shared" si="727"/>
        <v>2.9775534586518733</v>
      </c>
      <c r="I1108" s="4">
        <f t="shared" si="727"/>
        <v>3.1866871153690961</v>
      </c>
      <c r="J1108" s="4">
        <f t="shared" si="727"/>
        <v>3.4607834415864107</v>
      </c>
      <c r="K1108" s="4">
        <f t="shared" si="727"/>
        <v>3.7524761764533192</v>
      </c>
    </row>
    <row r="1109" spans="2:11" x14ac:dyDescent="0.35">
      <c r="B1109" s="5" t="str">
        <f t="shared" si="703"/>
        <v>SPS4</v>
      </c>
      <c r="C1109" s="5" t="str">
        <f t="shared" si="726"/>
        <v>CH</v>
      </c>
      <c r="D1109" t="s">
        <v>1093</v>
      </c>
      <c r="E1109" t="s">
        <v>240</v>
      </c>
      <c r="F1109" s="4">
        <f>IFERROR(F1059/F983,"-")</f>
        <v>0.8958333333333337</v>
      </c>
      <c r="G1109" s="4">
        <f t="shared" ref="G1109:K1109" si="728">IFERROR(G1059/G983,"-")</f>
        <v>0.89583333333333448</v>
      </c>
      <c r="H1109" s="4">
        <f t="shared" si="728"/>
        <v>0.85508665706677178</v>
      </c>
      <c r="I1109" s="4">
        <f t="shared" si="728"/>
        <v>0.87045030403196622</v>
      </c>
      <c r="J1109" s="4">
        <f t="shared" si="728"/>
        <v>0.88426260420393488</v>
      </c>
      <c r="K1109" s="4">
        <f t="shared" si="728"/>
        <v>0.88673528907100263</v>
      </c>
    </row>
    <row r="1110" spans="2:11" x14ac:dyDescent="0.35">
      <c r="B1110" s="5" t="str">
        <f t="shared" si="703"/>
        <v>SPS4</v>
      </c>
      <c r="C1110" s="5" t="str">
        <f t="shared" si="726"/>
        <v>CH</v>
      </c>
      <c r="D1110" t="s">
        <v>1094</v>
      </c>
      <c r="E1110" t="s">
        <v>240</v>
      </c>
      <c r="F1110" s="4">
        <f>IFERROR(F1061/F996,"-")</f>
        <v>0.95000000000000007</v>
      </c>
      <c r="G1110" s="4">
        <f t="shared" ref="G1110:K1110" si="729">IFERROR(G1061/G996,"-")</f>
        <v>0.95000000000000007</v>
      </c>
      <c r="H1110" s="4">
        <f t="shared" si="729"/>
        <v>0.93513558275744857</v>
      </c>
      <c r="I1110" s="4">
        <f t="shared" si="729"/>
        <v>0.94145798739609932</v>
      </c>
      <c r="J1110" s="4">
        <f t="shared" si="729"/>
        <v>0.94667853331099583</v>
      </c>
      <c r="K1110" s="4">
        <f t="shared" si="729"/>
        <v>0.95093365961714149</v>
      </c>
    </row>
    <row r="1111" spans="2:11" x14ac:dyDescent="0.35">
      <c r="B1111" s="5" t="str">
        <f t="shared" si="703"/>
        <v>SPS4</v>
      </c>
      <c r="C1111" s="5" t="str">
        <f t="shared" si="726"/>
        <v>CH</v>
      </c>
      <c r="D1111" t="s">
        <v>1095</v>
      </c>
      <c r="E1111" t="s">
        <v>240</v>
      </c>
      <c r="F1111" s="4" t="str">
        <f>IFERROR(F1062/F997,"-")</f>
        <v>-</v>
      </c>
      <c r="G1111" s="4" t="str">
        <f t="shared" ref="G1111:K1111" si="730">IFERROR(G1062/G997,"-")</f>
        <v>-</v>
      </c>
      <c r="H1111" s="4">
        <f t="shared" si="730"/>
        <v>1.8593348138732109</v>
      </c>
      <c r="I1111" s="4">
        <f t="shared" si="730"/>
        <v>1.9105737198524009</v>
      </c>
      <c r="J1111" s="4">
        <f t="shared" si="730"/>
        <v>1.963779187036325</v>
      </c>
      <c r="K1111" s="4">
        <f t="shared" si="730"/>
        <v>2.0088376411819202</v>
      </c>
    </row>
    <row r="1112" spans="2:11" x14ac:dyDescent="0.35">
      <c r="B1112" s="5" t="str">
        <f t="shared" si="703"/>
        <v>SPS4</v>
      </c>
      <c r="C1112" s="5" t="str">
        <f t="shared" si="726"/>
        <v>CH</v>
      </c>
      <c r="D1112" t="s">
        <v>1096</v>
      </c>
      <c r="E1112" t="s">
        <v>240</v>
      </c>
      <c r="F1112" s="4">
        <f>IFERROR(F1064/F1015,"-")</f>
        <v>0.72000000000000053</v>
      </c>
      <c r="G1112" s="4">
        <f t="shared" ref="G1112:K1112" si="731">IFERROR(G1064/G1015,"-")</f>
        <v>0.71999999999999986</v>
      </c>
      <c r="H1112" s="4">
        <f t="shared" si="731"/>
        <v>0.79930067458572684</v>
      </c>
      <c r="I1112" s="4">
        <f t="shared" si="731"/>
        <v>0.79991113432360428</v>
      </c>
      <c r="J1112" s="4" t="str">
        <f t="shared" si="731"/>
        <v>-</v>
      </c>
      <c r="K1112" s="4" t="str">
        <f t="shared" si="731"/>
        <v>-</v>
      </c>
    </row>
    <row r="1113" spans="2:11" x14ac:dyDescent="0.35">
      <c r="B1113" s="5" t="str">
        <f t="shared" si="703"/>
        <v>SPS4</v>
      </c>
      <c r="C1113" s="5" t="str">
        <f t="shared" si="726"/>
        <v>CH</v>
      </c>
      <c r="D1113" t="s">
        <v>1097</v>
      </c>
      <c r="E1113" t="s">
        <v>240</v>
      </c>
      <c r="F1113" s="4">
        <v>0.99</v>
      </c>
      <c r="G1113" s="4">
        <v>0.99</v>
      </c>
      <c r="H1113" s="4">
        <v>0.99</v>
      </c>
      <c r="I1113" s="4">
        <v>0.99</v>
      </c>
      <c r="J1113" s="4">
        <v>0.99</v>
      </c>
      <c r="K1113" s="4">
        <v>0.99</v>
      </c>
    </row>
    <row r="1114" spans="2:11" x14ac:dyDescent="0.35">
      <c r="B1114" s="5" t="str">
        <f t="shared" si="703"/>
        <v>SPS4</v>
      </c>
      <c r="C1114" s="5" t="str">
        <f t="shared" si="726"/>
        <v>CH</v>
      </c>
      <c r="D1114" t="s">
        <v>1098</v>
      </c>
      <c r="E1114" t="s">
        <v>240</v>
      </c>
      <c r="F1114" s="4">
        <v>0.99</v>
      </c>
      <c r="G1114" s="4">
        <v>0.99</v>
      </c>
      <c r="H1114" s="4">
        <v>0.99</v>
      </c>
      <c r="I1114" s="4">
        <v>0.99</v>
      </c>
      <c r="J1114" s="4">
        <v>0.99</v>
      </c>
      <c r="K1114" s="4">
        <v>0.99</v>
      </c>
    </row>
    <row r="1115" spans="2:11" x14ac:dyDescent="0.35">
      <c r="B1115" s="5" t="str">
        <f t="shared" si="703"/>
        <v>SPS4</v>
      </c>
      <c r="C1115" s="5" t="str">
        <f t="shared" si="726"/>
        <v>CH</v>
      </c>
      <c r="D1115" t="s">
        <v>1099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</row>
    <row r="1116" spans="2:11" x14ac:dyDescent="0.35">
      <c r="B1116" s="5" t="str">
        <f t="shared" si="703"/>
        <v>SPS4</v>
      </c>
      <c r="C1116" s="5" t="str">
        <f t="shared" si="726"/>
        <v>CH</v>
      </c>
      <c r="D1116" t="s">
        <v>1100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</row>
    <row r="1117" spans="2:11" x14ac:dyDescent="0.35">
      <c r="B1117" s="5" t="str">
        <f t="shared" si="703"/>
        <v>SPS4</v>
      </c>
      <c r="C1117" s="5" t="str">
        <f t="shared" si="726"/>
        <v>CH</v>
      </c>
      <c r="D1117" t="s">
        <v>1101</v>
      </c>
      <c r="E1117" t="s">
        <v>240</v>
      </c>
      <c r="F1117" s="4">
        <f>IFERROR(F1072/F1020,"-")</f>
        <v>0.71999999999999964</v>
      </c>
      <c r="G1117" s="4">
        <f t="shared" ref="G1117:K1117" si="732">IFERROR(G1072/G1020,"-")</f>
        <v>0.72000000000000042</v>
      </c>
      <c r="H1117" s="4">
        <f t="shared" si="732"/>
        <v>0.71926432050661648</v>
      </c>
      <c r="I1117" s="4">
        <f t="shared" si="732"/>
        <v>0.7303139860889688</v>
      </c>
      <c r="J1117" s="4">
        <f t="shared" si="732"/>
        <v>0.73963399599121948</v>
      </c>
      <c r="K1117" s="4">
        <f t="shared" si="732"/>
        <v>0.74871925672596673</v>
      </c>
    </row>
    <row r="1118" spans="2:11" x14ac:dyDescent="0.35">
      <c r="B1118" s="5" t="str">
        <f t="shared" si="703"/>
        <v>SPS4</v>
      </c>
      <c r="C1118" s="5" t="str">
        <f t="shared" si="726"/>
        <v>CH</v>
      </c>
      <c r="D1118" t="s">
        <v>1102</v>
      </c>
      <c r="E1118" t="s">
        <v>240</v>
      </c>
      <c r="F1118" s="4">
        <f>IFERROR(F1074/F1025,"-")</f>
        <v>0.89999999999999947</v>
      </c>
      <c r="G1118" s="4">
        <f t="shared" ref="G1118:K1118" si="733">IFERROR(G1074/G1025,"-")</f>
        <v>0.8999999999999998</v>
      </c>
      <c r="H1118" s="4">
        <f t="shared" si="733"/>
        <v>0.73523784022228333</v>
      </c>
      <c r="I1118" s="4">
        <f t="shared" si="733"/>
        <v>0.74149120815096692</v>
      </c>
      <c r="J1118" s="4">
        <f t="shared" si="733"/>
        <v>0.74561658670012787</v>
      </c>
      <c r="K1118" s="4">
        <f t="shared" si="733"/>
        <v>0.74992130672280877</v>
      </c>
    </row>
    <row r="1119" spans="2:11" x14ac:dyDescent="0.35">
      <c r="B1119" s="5" t="str">
        <f t="shared" si="703"/>
        <v>SPS4</v>
      </c>
      <c r="C1119" s="5" t="str">
        <f t="shared" si="726"/>
        <v>CH</v>
      </c>
      <c r="D1119" t="s">
        <v>1103</v>
      </c>
      <c r="E1119" t="s">
        <v>240</v>
      </c>
      <c r="F1119" s="4">
        <v>1</v>
      </c>
      <c r="G1119" s="4">
        <v>1</v>
      </c>
      <c r="H1119" s="4">
        <v>1</v>
      </c>
      <c r="I1119" s="4">
        <v>1</v>
      </c>
      <c r="J1119" s="4">
        <v>1</v>
      </c>
      <c r="K1119" s="4">
        <v>1</v>
      </c>
    </row>
    <row r="1120" spans="2:11" x14ac:dyDescent="0.35">
      <c r="B1120" s="5" t="str">
        <f t="shared" si="703"/>
        <v>SPS4</v>
      </c>
      <c r="C1120" s="5" t="str">
        <f t="shared" si="726"/>
        <v>CH</v>
      </c>
      <c r="D1120" t="s">
        <v>1104</v>
      </c>
      <c r="E1120" t="s">
        <v>240</v>
      </c>
      <c r="F1120" s="4" t="str">
        <f>IFERROR(F1078/F1037,"-")</f>
        <v>-</v>
      </c>
      <c r="G1120" s="4" t="str">
        <f t="shared" ref="G1120:K1120" si="734">IFERROR(G1078/G1037,"-")</f>
        <v>-</v>
      </c>
      <c r="H1120" s="4" t="str">
        <f t="shared" si="734"/>
        <v>-</v>
      </c>
      <c r="I1120" s="4" t="str">
        <f t="shared" si="734"/>
        <v>-</v>
      </c>
      <c r="J1120" s="4" t="str">
        <f t="shared" si="734"/>
        <v>-</v>
      </c>
      <c r="K1120" s="4" t="str">
        <f t="shared" si="734"/>
        <v>-</v>
      </c>
    </row>
    <row r="1121" spans="2:11" x14ac:dyDescent="0.35">
      <c r="B1121" s="5" t="str">
        <f t="shared" si="703"/>
        <v>SPS4</v>
      </c>
      <c r="C1121" s="5" t="str">
        <f t="shared" si="726"/>
        <v>CH</v>
      </c>
      <c r="D1121" t="s">
        <v>1124</v>
      </c>
      <c r="E1121" t="s">
        <v>240</v>
      </c>
      <c r="F1121" s="4">
        <f>IFERROR(F1082/F976,"-")</f>
        <v>0.79000000000000015</v>
      </c>
      <c r="G1121" s="4">
        <f t="shared" ref="G1121:K1122" si="735">IFERROR(G1082/G976,"-")</f>
        <v>0.79199999999999948</v>
      </c>
      <c r="H1121" s="4">
        <f t="shared" si="735"/>
        <v>0.46575037519700169</v>
      </c>
      <c r="I1121" s="4">
        <f t="shared" si="735"/>
        <v>0.48202648428005496</v>
      </c>
      <c r="J1121" s="4">
        <f t="shared" si="735"/>
        <v>0.50256144895624855</v>
      </c>
      <c r="K1121" s="4">
        <f t="shared" si="735"/>
        <v>0.51652789095578711</v>
      </c>
    </row>
    <row r="1122" spans="2:11" x14ac:dyDescent="0.35">
      <c r="B1122" s="5" t="str">
        <f t="shared" si="703"/>
        <v>SPS4</v>
      </c>
      <c r="C1122" s="5" t="str">
        <f t="shared" si="726"/>
        <v>CH</v>
      </c>
      <c r="D1122" t="s">
        <v>1125</v>
      </c>
      <c r="E1122" t="s">
        <v>240</v>
      </c>
      <c r="F1122" s="4">
        <f>IFERROR(F1083/F977,"-")</f>
        <v>2.8199999999999981</v>
      </c>
      <c r="G1122" s="4">
        <f t="shared" si="735"/>
        <v>2.8260000000000041</v>
      </c>
      <c r="H1122" s="4">
        <f t="shared" si="735"/>
        <v>1.8798242289814193</v>
      </c>
      <c r="I1122" s="4">
        <f t="shared" si="735"/>
        <v>2.0380669652829697</v>
      </c>
      <c r="J1122" s="4">
        <f t="shared" si="735"/>
        <v>2.2381073400027605</v>
      </c>
      <c r="K1122" s="4">
        <f t="shared" si="735"/>
        <v>2.4452487431511591</v>
      </c>
    </row>
    <row r="1123" spans="2:11" x14ac:dyDescent="0.35">
      <c r="B1123" s="5" t="str">
        <f t="shared" si="703"/>
        <v>SPS4</v>
      </c>
      <c r="C1123" s="5" t="str">
        <f t="shared" si="726"/>
        <v>CH</v>
      </c>
      <c r="D1123" t="s">
        <v>1105</v>
      </c>
      <c r="E1123" t="s">
        <v>240</v>
      </c>
      <c r="F1123" s="4">
        <f>IFERROR(F1085/F989,"-")</f>
        <v>0.70833333333333404</v>
      </c>
      <c r="G1123" s="4">
        <f t="shared" ref="G1123:K1123" si="736">IFERROR(G1085/G989,"-")</f>
        <v>0.71458333333333302</v>
      </c>
      <c r="H1123" s="4">
        <f t="shared" si="736"/>
        <v>0.50387270936084028</v>
      </c>
      <c r="I1123" s="4">
        <f t="shared" si="736"/>
        <v>0.52610055366325148</v>
      </c>
      <c r="J1123" s="4">
        <f t="shared" si="736"/>
        <v>0.5530251006822362</v>
      </c>
      <c r="K1123" s="4">
        <f t="shared" si="736"/>
        <v>0.5682733370313453</v>
      </c>
    </row>
    <row r="1124" spans="2:11" x14ac:dyDescent="0.35">
      <c r="B1124" s="5" t="str">
        <f t="shared" si="703"/>
        <v>SPS4</v>
      </c>
      <c r="C1124" s="5" t="str">
        <f t="shared" si="726"/>
        <v>CH</v>
      </c>
      <c r="D1124" t="s">
        <v>1106</v>
      </c>
      <c r="E1124" t="s">
        <v>240</v>
      </c>
      <c r="F1124" s="4">
        <f>IFERROR(F1087/F1005,"-")</f>
        <v>0.75</v>
      </c>
      <c r="G1124" s="4">
        <f t="shared" ref="G1124:K1124" si="737">IFERROR(G1087/G1005,"-")</f>
        <v>0.75400000000000034</v>
      </c>
      <c r="H1124" s="4">
        <f t="shared" si="737"/>
        <v>0.53090633737733972</v>
      </c>
      <c r="I1124" s="4">
        <f t="shared" si="737"/>
        <v>0.55111536087349444</v>
      </c>
      <c r="J1124" s="4">
        <f t="shared" si="737"/>
        <v>0.57099006608739078</v>
      </c>
      <c r="K1124" s="4">
        <f t="shared" si="737"/>
        <v>0.58924397388922578</v>
      </c>
    </row>
    <row r="1125" spans="2:11" x14ac:dyDescent="0.35">
      <c r="B1125" s="5" t="str">
        <f t="shared" si="703"/>
        <v>SPS4</v>
      </c>
      <c r="C1125" s="5" t="str">
        <f t="shared" si="726"/>
        <v>CH</v>
      </c>
      <c r="D1125" t="s">
        <v>1107</v>
      </c>
      <c r="E1125" t="s">
        <v>240</v>
      </c>
      <c r="F1125" s="4" t="str">
        <f>IFERROR(F1088/F1006,"-")</f>
        <v>-</v>
      </c>
      <c r="G1125" s="4" t="str">
        <f t="shared" ref="G1125:K1125" si="738">IFERROR(G1088/G1006,"-")</f>
        <v>-</v>
      </c>
      <c r="H1125" s="4">
        <f t="shared" si="738"/>
        <v>2.0043171508116782</v>
      </c>
      <c r="I1125" s="4">
        <f t="shared" si="738"/>
        <v>2.1695014743733299</v>
      </c>
      <c r="J1125" s="4">
        <f t="shared" si="738"/>
        <v>2.3534810209117314</v>
      </c>
      <c r="K1125" s="4">
        <f t="shared" si="738"/>
        <v>2.529953565728948</v>
      </c>
    </row>
    <row r="1126" spans="2:11" x14ac:dyDescent="0.35">
      <c r="B1126" s="5" t="str">
        <f t="shared" si="703"/>
        <v>SPS4</v>
      </c>
      <c r="C1126" s="5" t="str">
        <f t="shared" si="726"/>
        <v>CH</v>
      </c>
      <c r="D1126" t="s">
        <v>1108</v>
      </c>
      <c r="E1126" t="s">
        <v>240</v>
      </c>
      <c r="F1126" s="4">
        <v>0.77</v>
      </c>
      <c r="G1126" s="4">
        <f>AVERAGE(F1126,H1126)</f>
        <v>0.77500000000000002</v>
      </c>
      <c r="H1126" s="4">
        <v>0.78</v>
      </c>
      <c r="I1126" s="4">
        <v>0.79</v>
      </c>
      <c r="J1126" s="4">
        <v>0.79</v>
      </c>
      <c r="K1126" s="4">
        <v>0.79</v>
      </c>
    </row>
    <row r="1127" spans="2:11" x14ac:dyDescent="0.35">
      <c r="B1127" s="5" t="str">
        <f t="shared" si="703"/>
        <v>SPS4</v>
      </c>
      <c r="C1127" s="5" t="str">
        <f t="shared" si="726"/>
        <v>CH</v>
      </c>
      <c r="D1127" t="s">
        <v>1109</v>
      </c>
      <c r="E1127" t="s">
        <v>240</v>
      </c>
      <c r="F1127" s="4">
        <v>0.77</v>
      </c>
      <c r="G1127" s="4">
        <f>AVERAGE(F1127,H1127)</f>
        <v>0.77500000000000002</v>
      </c>
      <c r="H1127" s="4">
        <v>0.78</v>
      </c>
      <c r="I1127" s="4">
        <v>0.79</v>
      </c>
      <c r="J1127" s="4">
        <v>0.79</v>
      </c>
      <c r="K1127" s="4">
        <v>0.79</v>
      </c>
    </row>
    <row r="1128" spans="2:11" x14ac:dyDescent="0.35">
      <c r="B1128" s="5" t="str">
        <f t="shared" si="703"/>
        <v>SPS4</v>
      </c>
      <c r="C1128" s="5" t="str">
        <f t="shared" si="726"/>
        <v>CH</v>
      </c>
      <c r="D1128" t="s">
        <v>1110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</row>
    <row r="1129" spans="2:11" x14ac:dyDescent="0.35">
      <c r="B1129" s="5" t="str">
        <f t="shared" si="703"/>
        <v>SPS4</v>
      </c>
      <c r="C1129" s="5" t="str">
        <f t="shared" si="726"/>
        <v>CH</v>
      </c>
      <c r="D1129" t="s">
        <v>1111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</row>
    <row r="1130" spans="2:11" x14ac:dyDescent="0.35">
      <c r="B1130" s="5" t="str">
        <f t="shared" si="703"/>
        <v>SPS4</v>
      </c>
      <c r="C1130" s="5" t="str">
        <f t="shared" si="726"/>
        <v>CH</v>
      </c>
      <c r="D1130" t="s">
        <v>1112</v>
      </c>
      <c r="E1130" t="s">
        <v>240</v>
      </c>
      <c r="F1130" s="4">
        <f>IFERROR(F1098/F1022,"-")</f>
        <v>0.5</v>
      </c>
      <c r="G1130" s="4">
        <f t="shared" ref="G1130:K1130" si="739">IFERROR(G1098/G1022,"-")</f>
        <v>0.50000000000000078</v>
      </c>
      <c r="H1130" s="4">
        <f t="shared" si="739"/>
        <v>0.43812371334449957</v>
      </c>
      <c r="I1130" s="4">
        <f t="shared" si="739"/>
        <v>0.45148046316236878</v>
      </c>
      <c r="J1130" s="4">
        <f t="shared" si="739"/>
        <v>0.46958467687166283</v>
      </c>
      <c r="K1130" s="4">
        <f t="shared" si="739"/>
        <v>0.48698702750161926</v>
      </c>
    </row>
    <row r="1131" spans="2:11" x14ac:dyDescent="0.35">
      <c r="B1131" s="5" t="str">
        <f t="shared" si="703"/>
        <v>SPS4</v>
      </c>
      <c r="C1131" s="5" t="str">
        <f t="shared" si="726"/>
        <v>CH</v>
      </c>
      <c r="D1131" t="s">
        <v>1113</v>
      </c>
      <c r="E1131" t="s">
        <v>240</v>
      </c>
      <c r="F1131" s="4">
        <f>IFERROR(F1100/F1027,"-")</f>
        <v>0.62499999999999944</v>
      </c>
      <c r="G1131" s="4">
        <f t="shared" ref="G1131:K1131" si="740">IFERROR(G1100/G1027,"-")</f>
        <v>0.62499999999999967</v>
      </c>
      <c r="H1131" s="4">
        <f t="shared" si="740"/>
        <v>0.45611824925058481</v>
      </c>
      <c r="I1131" s="4">
        <f t="shared" si="740"/>
        <v>0.46403748924694083</v>
      </c>
      <c r="J1131" s="4">
        <f t="shared" si="740"/>
        <v>0.47526806359401508</v>
      </c>
      <c r="K1131" s="4">
        <f t="shared" si="740"/>
        <v>0.48674556768051186</v>
      </c>
    </row>
    <row r="1132" spans="2:11" x14ac:dyDescent="0.35">
      <c r="B1132" s="5" t="str">
        <f t="shared" si="703"/>
        <v>SPS4</v>
      </c>
      <c r="C1132" s="5" t="str">
        <f t="shared" si="726"/>
        <v>CH</v>
      </c>
      <c r="D1132" t="s">
        <v>1114</v>
      </c>
      <c r="E1132" t="s">
        <v>240</v>
      </c>
      <c r="F1132" s="4">
        <v>1</v>
      </c>
      <c r="G1132" s="4">
        <v>1</v>
      </c>
      <c r="H1132" s="4">
        <v>1</v>
      </c>
      <c r="I1132" s="4">
        <v>1</v>
      </c>
      <c r="J1132" s="4">
        <v>1</v>
      </c>
      <c r="K1132" s="4">
        <v>1</v>
      </c>
    </row>
    <row r="1133" spans="2:11" x14ac:dyDescent="0.35">
      <c r="B1133" s="5" t="str">
        <f t="shared" si="703"/>
        <v>SPS4</v>
      </c>
      <c r="C1133" s="5" t="str">
        <f t="shared" si="726"/>
        <v>CH</v>
      </c>
      <c r="D1133" t="s">
        <v>1115</v>
      </c>
      <c r="E1133" t="s">
        <v>240</v>
      </c>
      <c r="F1133" s="4" t="str">
        <f>IFERROR(F1104/F1039,"-")</f>
        <v>-</v>
      </c>
      <c r="G1133" s="4" t="str">
        <f t="shared" ref="G1133:K1133" si="741">IFERROR(G1104/G1039,"-")</f>
        <v>-</v>
      </c>
      <c r="H1133" s="4" t="str">
        <f t="shared" si="741"/>
        <v>-</v>
      </c>
      <c r="I1133" s="4" t="str">
        <f t="shared" si="741"/>
        <v>-</v>
      </c>
      <c r="J1133" s="4" t="str">
        <f t="shared" si="741"/>
        <v>-</v>
      </c>
      <c r="K1133" s="4" t="str">
        <f t="shared" si="741"/>
        <v>-</v>
      </c>
    </row>
    <row r="1134" spans="2:11" x14ac:dyDescent="0.35">
      <c r="B1134" s="9" t="str">
        <f t="shared" si="703"/>
        <v>SPS4</v>
      </c>
      <c r="C1134" s="9" t="str">
        <f>C1133</f>
        <v>CH</v>
      </c>
      <c r="D1134" s="2" t="s">
        <v>1237</v>
      </c>
      <c r="E1134" s="2" t="s">
        <v>8</v>
      </c>
      <c r="F1134" s="3">
        <f t="shared" ref="F1134:K1134" si="742">F1135+F1150+F1155+F1178+F1201</f>
        <v>139.15536701974062</v>
      </c>
      <c r="G1134" s="3">
        <f t="shared" si="742"/>
        <v>133.83024407566546</v>
      </c>
      <c r="H1134" s="3">
        <f t="shared" si="742"/>
        <v>122.45389075025075</v>
      </c>
      <c r="I1134" s="3">
        <f t="shared" si="742"/>
        <v>99.398127446137849</v>
      </c>
      <c r="J1134" s="3">
        <f t="shared" si="742"/>
        <v>74.89679776294561</v>
      </c>
      <c r="K1134" s="3">
        <f t="shared" si="742"/>
        <v>62.088310852308105</v>
      </c>
    </row>
    <row r="1135" spans="2:11" x14ac:dyDescent="0.35">
      <c r="B1135" s="5" t="str">
        <f t="shared" si="703"/>
        <v>SPS4</v>
      </c>
      <c r="C1135" s="5" t="str">
        <f>C1134</f>
        <v>CH</v>
      </c>
      <c r="D1135" t="s">
        <v>1238</v>
      </c>
      <c r="E1135" t="s">
        <v>8</v>
      </c>
      <c r="F1135" s="1">
        <f>SUM(F1136:F1149)</f>
        <v>0.73829007804021152</v>
      </c>
      <c r="G1135" s="1">
        <f t="shared" ref="G1135:K1135" si="743">SUM(G1136:G1149)</f>
        <v>1.7228704087933466</v>
      </c>
      <c r="H1135" s="1">
        <f t="shared" si="743"/>
        <v>4.3279456428442575</v>
      </c>
      <c r="I1135" s="1">
        <f t="shared" si="743"/>
        <v>13.128300966392548</v>
      </c>
      <c r="J1135" s="1">
        <f t="shared" si="743"/>
        <v>23.623957719598408</v>
      </c>
      <c r="K1135" s="1">
        <f t="shared" si="743"/>
        <v>23.48362986185759</v>
      </c>
    </row>
    <row r="1136" spans="2:11" x14ac:dyDescent="0.35">
      <c r="B1136" s="5" t="str">
        <f t="shared" si="703"/>
        <v>SPS4</v>
      </c>
      <c r="C1136" s="5" t="str">
        <f t="shared" ref="C1136:C1215" si="744">C1135</f>
        <v>CH</v>
      </c>
      <c r="D1136" t="s">
        <v>1239</v>
      </c>
      <c r="E1136" t="s">
        <v>8</v>
      </c>
      <c r="F1136" s="1" cm="1">
        <f t="array" ref="F1136">SUMPRODUCT(("T_C-BATELCEXT"=[1]OUT_TransportEnergyCons!$A$3:$A$1000)*1,("Var_Fin"=[1]OUT_TransportEnergyCons!$B$3:$B$1000)*1,ISNUMBER(SEARCH("ELC",[1]OUT_TransportEnergyCons!$C$3:$C$1000))*1,[1]OUT_TransportEnergyCons!D$3:D$1000)</f>
        <v>0.46789166435613505</v>
      </c>
      <c r="G1136" s="1" cm="1">
        <f t="array" ref="G1136">SUMPRODUCT(("T_C-BATELCEXT"=[1]OUT_TransportEnergyCons!$A$3:$A$1000)*1,("Var_Fin"=[1]OUT_TransportEnergyCons!$B$3:$B$1000)*1,ISNUMBER(SEARCH("ELC",[1]OUT_TransportEnergyCons!$C$3:$C$1000))*1,[1]OUT_TransportEnergyCons!E$3:E$1000)</f>
        <v>0.37693365329288803</v>
      </c>
      <c r="H1136" s="1" cm="1">
        <f t="array" ref="H1136">SUMPRODUCT(("T_C-BATELCEXT"=[1]OUT_TransportEnergyCons!$A$3:$A$1000)*1,("Var_Fin"=[1]OUT_TransportEnergyCons!$B$3:$B$1000)*1,ISNUMBER(SEARCH("ELC",[1]OUT_TransportEnergyCons!$C$3:$C$1000))*1,[1]OUT_TransportEnergyCons!F$3:F$1000)</f>
        <v>0.26222951088317448</v>
      </c>
      <c r="I1136" s="1" cm="1">
        <f t="array" ref="I1136">SUMPRODUCT(("T_C-BATELCEXT"=[1]OUT_TransportEnergyCons!$A$3:$A$1000)*1,("Var_Fin"=[1]OUT_TransportEnergyCons!$B$3:$B$1000)*1,ISNUMBER(SEARCH("ELC",[1]OUT_TransportEnergyCons!$C$3:$C$1000))*1,[1]OUT_TransportEnergyCons!G$3:G$1000)</f>
        <v>0.11309564599909504</v>
      </c>
      <c r="J1136" s="1" cm="1">
        <f t="array" ref="J1136">SUMPRODUCT(("T_C-BATELCEXT"=[1]OUT_TransportEnergyCons!$A$3:$A$1000)*1,("Var_Fin"=[1]OUT_TransportEnergyCons!$B$3:$B$1000)*1,ISNUMBER(SEARCH("ELC",[1]OUT_TransportEnergyCons!$C$3:$C$1000))*1,[1]OUT_TransportEnergyCons!H$3:H$1000)</f>
        <v>0</v>
      </c>
      <c r="K1136" s="1" cm="1">
        <f t="array" ref="K1136">SUMPRODUCT(("T_C-BATELCEXT"=[1]OUT_TransportEnergyCons!$A$3:$A$1000)*1,("Var_Fin"=[1]OUT_TransportEnergyCons!$B$3:$B$1000)*1,ISNUMBER(SEARCH("ELC",[1]OUT_TransportEnergyCons!$C$3:$C$1000))*1,[1]OUT_TransportEnergyCons!I$3:I$1000)</f>
        <v>0</v>
      </c>
    </row>
    <row r="1137" spans="2:11" x14ac:dyDescent="0.35">
      <c r="B1137" s="5" t="str">
        <f t="shared" si="703"/>
        <v>SPS4</v>
      </c>
      <c r="C1137" s="5" t="str">
        <f t="shared" si="744"/>
        <v>CH</v>
      </c>
      <c r="D1137" t="s">
        <v>1240</v>
      </c>
      <c r="E1137" t="s">
        <v>8</v>
      </c>
      <c r="F1137" s="1" cm="1">
        <f t="array" ref="F1137">SUMPRODUCT(("T_C-BAT-ELC-S1"=[1]OUT_TransportEnergyCons!$A$3:$A$1000)*1,("Var_Fin"=[1]OUT_TransportEnergyCons!$B$3:$B$1000)*1,ISNUMBER(SEARCH("ELC",[1]OUT_TransportEnergyCons!$C$3:$C$1000))*1,[1]OUT_TransportEnergyCons!D$3:D$1000)</f>
        <v>7.6976047795015694E-3</v>
      </c>
      <c r="G1137" s="1" cm="1">
        <f t="array" ref="G1137">SUMPRODUCT(("T_C-BAT-ELC-S1"=[1]OUT_TransportEnergyCons!$A$3:$A$1000)*1,("Var_Fin"=[1]OUT_TransportEnergyCons!$B$3:$B$1000)*1,ISNUMBER(SEARCH("ELC",[1]OUT_TransportEnergyCons!$C$3:$C$1000))*1,[1]OUT_TransportEnergyCons!E$3:E$1000)</f>
        <v>1.4137813813461428E-2</v>
      </c>
      <c r="H1137" s="1" cm="1">
        <f t="array" ref="H1137">SUMPRODUCT(("T_C-BAT-ELC-S1"=[1]OUT_TransportEnergyCons!$A$3:$A$1000)*1,("Var_Fin"=[1]OUT_TransportEnergyCons!$B$3:$B$1000)*1,ISNUMBER(SEARCH("ELC",[1]OUT_TransportEnergyCons!$C$3:$C$1000))*1,[1]OUT_TransportEnergyCons!F$3:F$1000)</f>
        <v>1.1065268674448002E-2</v>
      </c>
      <c r="I1137" s="1" cm="1">
        <f t="array" ref="I1137">SUMPRODUCT(("T_C-BAT-ELC-S1"=[1]OUT_TransportEnergyCons!$A$3:$A$1000)*1,("Var_Fin"=[1]OUT_TransportEnergyCons!$B$3:$B$1000)*1,ISNUMBER(SEARCH("ELC",[1]OUT_TransportEnergyCons!$C$3:$C$1000))*1,[1]OUT_TransportEnergyCons!G$3:G$1000)</f>
        <v>9.547708926836344E-3</v>
      </c>
      <c r="J1137" s="1" cm="1">
        <f t="array" ref="J1137">SUMPRODUCT(("T_C-BAT-ELC-S1"=[1]OUT_TransportEnergyCons!$A$3:$A$1000)*1,("Var_Fin"=[1]OUT_TransportEnergyCons!$B$3:$B$1000)*1,ISNUMBER(SEARCH("ELC",[1]OUT_TransportEnergyCons!$C$3:$C$1000))*1,[1]OUT_TransportEnergyCons!H$3:H$1000)</f>
        <v>3.9179277217134822E-2</v>
      </c>
      <c r="K1137" s="1" cm="1">
        <f t="array" ref="K1137">SUMPRODUCT(("T_C-BAT-ELC-S1"=[1]OUT_TransportEnergyCons!$A$3:$A$1000)*1,("Var_Fin"=[1]OUT_TransportEnergyCons!$B$3:$B$1000)*1,ISNUMBER(SEARCH("ELC",[1]OUT_TransportEnergyCons!$C$3:$C$1000))*1,[1]OUT_TransportEnergyCons!I$3:I$1000)</f>
        <v>0.77357634208857429</v>
      </c>
    </row>
    <row r="1138" spans="2:11" x14ac:dyDescent="0.35">
      <c r="B1138" s="5" t="str">
        <f t="shared" si="703"/>
        <v>SPS4</v>
      </c>
      <c r="C1138" s="5" t="str">
        <f t="shared" si="744"/>
        <v>CH</v>
      </c>
      <c r="D1138" t="s">
        <v>1241</v>
      </c>
      <c r="E1138" t="s">
        <v>8</v>
      </c>
      <c r="F1138" s="1" cm="1">
        <f t="array" ref="F1138">SUMPRODUCT(("T_C-BAT-ELC-S2"=[1]OUT_TransportEnergyCons!$A$3:$A$1000)*1,("Var_Fin"=[1]OUT_TransportEnergyCons!$B$3:$B$1000)*1,ISNUMBER(SEARCH("ELC",[1]OUT_TransportEnergyCons!$C$3:$C$1000))*1,[1]OUT_TransportEnergyCons!D$3:D$1000)</f>
        <v>6.616527479115801E-2</v>
      </c>
      <c r="G1138" s="1" cm="1">
        <f t="array" ref="G1138">SUMPRODUCT(("T_C-BAT-ELC-S2"=[1]OUT_TransportEnergyCons!$A$3:$A$1000)*1,("Var_Fin"=[1]OUT_TransportEnergyCons!$B$3:$B$1000)*1,ISNUMBER(SEARCH("ELC",[1]OUT_TransportEnergyCons!$C$3:$C$1000))*1,[1]OUT_TransportEnergyCons!E$3:E$1000)</f>
        <v>0.10324001385459303</v>
      </c>
      <c r="H1138" s="1" cm="1">
        <f t="array" ref="H1138">SUMPRODUCT(("T_C-BAT-ELC-S2"=[1]OUT_TransportEnergyCons!$A$3:$A$1000)*1,("Var_Fin"=[1]OUT_TransportEnergyCons!$B$3:$B$1000)*1,ISNUMBER(SEARCH("ELC",[1]OUT_TransportEnergyCons!$C$3:$C$1000))*1,[1]OUT_TransportEnergyCons!F$3:F$1000)</f>
        <v>1.0307574379586111</v>
      </c>
      <c r="I1138" s="1" cm="1">
        <f t="array" ref="I1138">SUMPRODUCT(("T_C-BAT-ELC-S2"=[1]OUT_TransportEnergyCons!$A$3:$A$1000)*1,("Var_Fin"=[1]OUT_TransportEnergyCons!$B$3:$B$1000)*1,ISNUMBER(SEARCH("ELC",[1]OUT_TransportEnergyCons!$C$3:$C$1000))*1,[1]OUT_TransportEnergyCons!G$3:G$1000)</f>
        <v>5.9404946927215052</v>
      </c>
      <c r="J1138" s="1" cm="1">
        <f t="array" ref="J1138">SUMPRODUCT(("T_C-BAT-ELC-S2"=[1]OUT_TransportEnergyCons!$A$3:$A$1000)*1,("Var_Fin"=[1]OUT_TransportEnergyCons!$B$3:$B$1000)*1,ISNUMBER(SEARCH("ELC",[1]OUT_TransportEnergyCons!$C$3:$C$1000))*1,[1]OUT_TransportEnergyCons!H$3:H$1000)</f>
        <v>11.144096646535768</v>
      </c>
      <c r="K1138" s="1" cm="1">
        <f t="array" ref="K1138">SUMPRODUCT(("T_C-BAT-ELC-S2"=[1]OUT_TransportEnergyCons!$A$3:$A$1000)*1,("Var_Fin"=[1]OUT_TransportEnergyCons!$B$3:$B$1000)*1,ISNUMBER(SEARCH("ELC",[1]OUT_TransportEnergyCons!$C$3:$C$1000))*1,[1]OUT_TransportEnergyCons!I$3:I$1000)</f>
        <v>9.0872150739022572</v>
      </c>
    </row>
    <row r="1139" spans="2:11" x14ac:dyDescent="0.35">
      <c r="B1139" s="5" t="str">
        <f t="shared" si="703"/>
        <v>SPS4</v>
      </c>
      <c r="C1139" s="5" t="str">
        <f t="shared" si="744"/>
        <v>CH</v>
      </c>
      <c r="D1139" t="s">
        <v>1242</v>
      </c>
      <c r="E1139" t="s">
        <v>8</v>
      </c>
      <c r="F1139" s="1" cm="1">
        <f t="array" ref="F1139">SUMPRODUCT(("T_C-BAT-ELC-S3"=[1]OUT_TransportEnergyCons!$A$3:$A$1000)*1,("Var_Fin"=[1]OUT_TransportEnergyCons!$B$3:$B$1000)*1,ISNUMBER(SEARCH("ELC",[1]OUT_TransportEnergyCons!$C$3:$C$1000))*1,[1]OUT_TransportEnergyCons!D$3:D$1000)</f>
        <v>4.5913966270184237E-2</v>
      </c>
      <c r="G1139" s="1" cm="1">
        <f t="array" ref="G1139">SUMPRODUCT(("T_C-BAT-ELC-S3"=[1]OUT_TransportEnergyCons!$A$3:$A$1000)*1,("Var_Fin"=[1]OUT_TransportEnergyCons!$B$3:$B$1000)*1,ISNUMBER(SEARCH("ELC",[1]OUT_TransportEnergyCons!$C$3:$C$1000))*1,[1]OUT_TransportEnergyCons!E$3:E$1000)</f>
        <v>9.6622867836926973E-2</v>
      </c>
      <c r="H1139" s="1" cm="1">
        <f t="array" ref="H1139">SUMPRODUCT(("T_C-BAT-ELC-S3"=[1]OUT_TransportEnergyCons!$A$3:$A$1000)*1,("Var_Fin"=[1]OUT_TransportEnergyCons!$B$3:$B$1000)*1,ISNUMBER(SEARCH("ELC",[1]OUT_TransportEnergyCons!$C$3:$C$1000))*1,[1]OUT_TransportEnergyCons!F$3:F$1000)</f>
        <v>0.13744996706663981</v>
      </c>
      <c r="I1139" s="1" cm="1">
        <f t="array" ref="I1139">SUMPRODUCT(("T_C-BAT-ELC-S3"=[1]OUT_TransportEnergyCons!$A$3:$A$1000)*1,("Var_Fin"=[1]OUT_TransportEnergyCons!$B$3:$B$1000)*1,ISNUMBER(SEARCH("ELC",[1]OUT_TransportEnergyCons!$C$3:$C$1000))*1,[1]OUT_TransportEnergyCons!G$3:G$1000)</f>
        <v>2.127204924060865</v>
      </c>
      <c r="J1139" s="1" cm="1">
        <f t="array" ref="J1139">SUMPRODUCT(("T_C-BAT-ELC-S3"=[1]OUT_TransportEnergyCons!$A$3:$A$1000)*1,("Var_Fin"=[1]OUT_TransportEnergyCons!$B$3:$B$1000)*1,ISNUMBER(SEARCH("ELC",[1]OUT_TransportEnergyCons!$C$3:$C$1000))*1,[1]OUT_TransportEnergyCons!H$3:H$1000)</f>
        <v>4.3801398079206262</v>
      </c>
      <c r="K1139" s="1" cm="1">
        <f t="array" ref="K1139">SUMPRODUCT(("T_C-BAT-ELC-S3"=[1]OUT_TransportEnergyCons!$A$3:$A$1000)*1,("Var_Fin"=[1]OUT_TransportEnergyCons!$B$3:$B$1000)*1,ISNUMBER(SEARCH("ELC",[1]OUT_TransportEnergyCons!$C$3:$C$1000))*1,[1]OUT_TransportEnergyCons!I$3:I$1000)</f>
        <v>3.335099126603386</v>
      </c>
    </row>
    <row r="1140" spans="2:11" x14ac:dyDescent="0.35">
      <c r="B1140" s="5" t="str">
        <f t="shared" ref="B1140:B1203" si="745">B1139</f>
        <v>SPS4</v>
      </c>
      <c r="C1140" s="5" t="str">
        <f t="shared" si="744"/>
        <v>CH</v>
      </c>
      <c r="D1140" t="s">
        <v>1243</v>
      </c>
      <c r="E1140" t="s">
        <v>8</v>
      </c>
      <c r="F1140" s="1" cm="1">
        <f t="array" ref="F1140">SUMPRODUCT(("T_C-BAT-ELC-S4"=[1]OUT_TransportEnergyCons!$A$3:$A$1000)*1,("Var_Fin"=[1]OUT_TransportEnergyCons!$B$3:$B$1000)*1,ISNUMBER(SEARCH("ELC",[1]OUT_TransportEnergyCons!$C$3:$C$1000))*1,[1]OUT_TransportEnergyCons!D$3:D$1000)</f>
        <v>0.14962642527694145</v>
      </c>
      <c r="G1140" s="1" cm="1">
        <f t="array" ref="G1140">SUMPRODUCT(("T_C-BAT-ELC-S4"=[1]OUT_TransportEnergyCons!$A$3:$A$1000)*1,("Var_Fin"=[1]OUT_TransportEnergyCons!$B$3:$B$1000)*1,ISNUMBER(SEARCH("ELC",[1]OUT_TransportEnergyCons!$C$3:$C$1000))*1,[1]OUT_TransportEnergyCons!E$3:E$1000)</f>
        <v>1.0537999543375292</v>
      </c>
      <c r="H1140" s="1" cm="1">
        <f t="array" ref="H1140">SUMPRODUCT(("T_C-BAT-ELC-S4"=[1]OUT_TransportEnergyCons!$A$3:$A$1000)*1,("Var_Fin"=[1]OUT_TransportEnergyCons!$B$3:$B$1000)*1,ISNUMBER(SEARCH("ELC",[1]OUT_TransportEnergyCons!$C$3:$C$1000))*1,[1]OUT_TransportEnergyCons!F$3:F$1000)</f>
        <v>2.5785963345697387</v>
      </c>
      <c r="I1140" s="1" cm="1">
        <f t="array" ref="I1140">SUMPRODUCT(("T_C-BAT-ELC-S4"=[1]OUT_TransportEnergyCons!$A$3:$A$1000)*1,("Var_Fin"=[1]OUT_TransportEnergyCons!$B$3:$B$1000)*1,ISNUMBER(SEARCH("ELC",[1]OUT_TransportEnergyCons!$C$3:$C$1000))*1,[1]OUT_TransportEnergyCons!G$3:G$1000)</f>
        <v>3.5543437459560288</v>
      </c>
      <c r="J1140" s="1" cm="1">
        <f t="array" ref="J1140">SUMPRODUCT(("T_C-BAT-ELC-S4"=[1]OUT_TransportEnergyCons!$A$3:$A$1000)*1,("Var_Fin"=[1]OUT_TransportEnergyCons!$B$3:$B$1000)*1,ISNUMBER(SEARCH("ELC",[1]OUT_TransportEnergyCons!$C$3:$C$1000))*1,[1]OUT_TransportEnergyCons!H$3:H$1000)</f>
        <v>4.6155405794814826</v>
      </c>
      <c r="K1140" s="1" cm="1">
        <f t="array" ref="K1140">SUMPRODUCT(("T_C-BAT-ELC-S4"=[1]OUT_TransportEnergyCons!$A$3:$A$1000)*1,("Var_Fin"=[1]OUT_TransportEnergyCons!$B$3:$B$1000)*1,ISNUMBER(SEARCH("ELC",[1]OUT_TransportEnergyCons!$C$3:$C$1000))*1,[1]OUT_TransportEnergyCons!I$3:I$1000)</f>
        <v>6.5081310269326247</v>
      </c>
    </row>
    <row r="1141" spans="2:11" x14ac:dyDescent="0.35">
      <c r="B1141" s="5" t="str">
        <f t="shared" si="745"/>
        <v>SPS4</v>
      </c>
      <c r="C1141" s="5" t="str">
        <f t="shared" si="744"/>
        <v>CH</v>
      </c>
      <c r="D1141" t="s">
        <v>1244</v>
      </c>
      <c r="E1141" t="s">
        <v>8</v>
      </c>
      <c r="F1141" s="1" cm="1">
        <f t="array" ref="F1141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1" s="1" cm="1">
        <f t="array" ref="G1141">SUMPRODUCT(("T-Plg-elc-gsl_S1"=[1]OUT_TransportEnergyCons!$A$3:$A$1000)*1,("Var_Fin"=[1]OUT_TransportEnergyCons!$B$3:$B$1000)*1,ISNUMBER(SEARCH("ELC",[1]OUT_TransportEnergyCons!$C$3:$C$1000))*1,[1]OUT_TransportEnergyCons!E$3:E$1000)</f>
        <v>3.8979522583289021E-5</v>
      </c>
      <c r="H1141" s="1" cm="1">
        <f t="array" ref="H1141">SUMPRODUCT(("T-Plg-elc-gsl_S1"=[1]OUT_TransportEnergyCons!$A$3:$A$1000)*1,("Var_Fin"=[1]OUT_TransportEnergyCons!$B$3:$B$1000)*1,ISNUMBER(SEARCH("ELC",[1]OUT_TransportEnergyCons!$C$3:$C$1000))*1,[1]OUT_TransportEnergyCons!F$3:F$1000)</f>
        <v>6.2885852333675811E-5</v>
      </c>
      <c r="I1141" s="1" cm="1">
        <f t="array" ref="I1141">SUMPRODUCT(("T-Plg-elc-gsl_S1"=[1]OUT_TransportEnergyCons!$A$3:$A$1000)*1,("Var_Fin"=[1]OUT_TransportEnergyCons!$B$3:$B$1000)*1,ISNUMBER(SEARCH("ELC",[1]OUT_TransportEnergyCons!$C$3:$C$1000))*1,[1]OUT_TransportEnergyCons!G$3:G$1000)</f>
        <v>1.0289269872822601E-4</v>
      </c>
      <c r="J1141" s="1" cm="1">
        <f t="array" ref="J1141">SUMPRODUCT(("T-Plg-elc-gsl_S1"=[1]OUT_TransportEnergyCons!$A$3:$A$1000)*1,("Var_Fin"=[1]OUT_TransportEnergyCons!$B$3:$B$1000)*1,ISNUMBER(SEARCH("ELC",[1]OUT_TransportEnergyCons!$C$3:$C$1000))*1,[1]OUT_TransportEnergyCons!H$3:H$1000)</f>
        <v>1.5623220131965731E-4</v>
      </c>
      <c r="K1141" s="1" cm="1">
        <f t="array" ref="K1141">SUMPRODUCT(("T-Plg-elc-gsl_S1"=[1]OUT_TransportEnergyCons!$A$3:$A$1000)*1,("Var_Fin"=[1]OUT_TransportEnergyCons!$B$3:$B$1000)*1,ISNUMBER(SEARCH("ELC",[1]OUT_TransportEnergyCons!$C$3:$C$1000))*1,[1]OUT_TransportEnergyCons!I$3:I$1000)</f>
        <v>1.3263330110060989E-4</v>
      </c>
    </row>
    <row r="1142" spans="2:11" x14ac:dyDescent="0.35">
      <c r="B1142" s="5" t="str">
        <f t="shared" si="745"/>
        <v>SPS4</v>
      </c>
      <c r="C1142" s="5" t="str">
        <f t="shared" si="744"/>
        <v>CH</v>
      </c>
      <c r="D1142" t="s">
        <v>1245</v>
      </c>
      <c r="E1142" t="s">
        <v>8</v>
      </c>
      <c r="F1142" s="1" cm="1">
        <f t="array" ref="F1142">SUMPRODUCT(("T-Plg-elc-gsl_S2"=[1]OUT_TransportEnergyCons!$A$3:$A$1000)*1,("Var_Fin"=[1]OUT_TransportEnergyCons!$B$3:$B$1000)*1,ISNUMBER(SEARCH("ELC",[1]OUT_TransportEnergyCons!$C$3:$C$1000))*1,[1]OUT_TransportEnergyCons!D$3:D$1000)</f>
        <v>9.9514256629131795E-4</v>
      </c>
      <c r="G1142" s="1" cm="1">
        <f t="array" ref="G1142">SUMPRODUCT(("T-Plg-elc-gsl_S2"=[1]OUT_TransportEnergyCons!$A$3:$A$1000)*1,("Var_Fin"=[1]OUT_TransportEnergyCons!$B$3:$B$1000)*1,ISNUMBER(SEARCH("ELC",[1]OUT_TransportEnergyCons!$C$3:$C$1000))*1,[1]OUT_TransportEnergyCons!E$3:E$1000)</f>
        <v>7.2370035744428411E-4</v>
      </c>
      <c r="H1142" s="1" cm="1">
        <f t="array" ref="H1142">SUMPRODUCT(("T-Plg-elc-gsl_S2"=[1]OUT_TransportEnergyCons!$A$3:$A$1000)*1,("Var_Fin"=[1]OUT_TransportEnergyCons!$B$3:$B$1000)*1,ISNUMBER(SEARCH("ELC",[1]OUT_TransportEnergyCons!$C$3:$C$1000))*1,[1]OUT_TransportEnergyCons!F$3:F$1000)</f>
        <v>2.7714639181145532E-3</v>
      </c>
      <c r="I1142" s="1" cm="1">
        <f t="array" ref="I1142">SUMPRODUCT(("T-Plg-elc-gsl_S2"=[1]OUT_TransportEnergyCons!$A$3:$A$1000)*1,("Var_Fin"=[1]OUT_TransportEnergyCons!$B$3:$B$1000)*1,ISNUMBER(SEARCH("ELC",[1]OUT_TransportEnergyCons!$C$3:$C$1000))*1,[1]OUT_TransportEnergyCons!G$3:G$1000)</f>
        <v>2.2332443093645822E-3</v>
      </c>
      <c r="J1142" s="1" cm="1">
        <f t="array" ref="J1142">SUMPRODUCT(("T-Plg-elc-gsl_S2"=[1]OUT_TransportEnergyCons!$A$3:$A$1000)*1,("Var_Fin"=[1]OUT_TransportEnergyCons!$B$3:$B$1000)*1,ISNUMBER(SEARCH("ELC",[1]OUT_TransportEnergyCons!$C$3:$C$1000))*1,[1]OUT_TransportEnergyCons!H$3:H$1000)</f>
        <v>6.7106752562108107E-4</v>
      </c>
      <c r="K1142" s="1" cm="1">
        <f t="array" ref="K1142">SUMPRODUCT(("T-Plg-elc-gsl_S2"=[1]OUT_TransportEnergyCons!$A$3:$A$1000)*1,("Var_Fin"=[1]OUT_TransportEnergyCons!$B$3:$B$1000)*1,ISNUMBER(SEARCH("ELC",[1]OUT_TransportEnergyCons!$C$3:$C$1000))*1,[1]OUT_TransportEnergyCons!I$3:I$1000)</f>
        <v>4.4114972926958152E-4</v>
      </c>
    </row>
    <row r="1143" spans="2:11" x14ac:dyDescent="0.35">
      <c r="B1143" s="5" t="str">
        <f t="shared" si="745"/>
        <v>SPS4</v>
      </c>
      <c r="C1143" s="5" t="str">
        <f t="shared" si="744"/>
        <v>CH</v>
      </c>
      <c r="D1143" t="s">
        <v>1246</v>
      </c>
      <c r="E1143" t="s">
        <v>8</v>
      </c>
      <c r="F1143" s="1" cm="1">
        <f t="array" ref="F1143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SUMPRODUCT(("T-Plg-elc-gsl_S3"=[1]OUT_TransportEnergyCons!$A$3:$A$1000)*1,("Var_Fin"=[1]OUT_TransportEnergyCons!$B$3:$B$1000)*1,ISNUMBER(SEARCH("ELC",[1]OUT_TransportEnergyCons!$C$3:$C$1000))*1,[1]OUT_TransportEnergyCons!E$3:E$1000)</f>
        <v>7.5646267019368801E-2</v>
      </c>
      <c r="H1143" s="1" cm="1">
        <f t="array" ref="H1143">SUMPRODUCT(("T-Plg-elc-gsl_S3"=[1]OUT_TransportEnergyCons!$A$3:$A$1000)*1,("Var_Fin"=[1]OUT_TransportEnergyCons!$B$3:$B$1000)*1,ISNUMBER(SEARCH("ELC",[1]OUT_TransportEnergyCons!$C$3:$C$1000))*1,[1]OUT_TransportEnergyCons!F$3:F$1000)</f>
        <v>0.16318759362864257</v>
      </c>
      <c r="I1143" s="1" cm="1">
        <f t="array" ref="I1143">SUMPRODUCT(("T-Plg-elc-gsl_S3"=[1]OUT_TransportEnergyCons!$A$3:$A$1000)*1,("Var_Fin"=[1]OUT_TransportEnergyCons!$B$3:$B$1000)*1,ISNUMBER(SEARCH("ELC",[1]OUT_TransportEnergyCons!$C$3:$C$1000))*1,[1]OUT_TransportEnergyCons!G$3:G$1000)</f>
        <v>0.27419303482652019</v>
      </c>
      <c r="J1143" s="1" cm="1">
        <f t="array" ref="J1143">SUMPRODUCT(("T-Plg-elc-gsl_S3"=[1]OUT_TransportEnergyCons!$A$3:$A$1000)*1,("Var_Fin"=[1]OUT_TransportEnergyCons!$B$3:$B$1000)*1,ISNUMBER(SEARCH("ELC",[1]OUT_TransportEnergyCons!$C$3:$C$1000))*1,[1]OUT_TransportEnergyCons!H$3:H$1000)</f>
        <v>0.23874244304443973</v>
      </c>
      <c r="K1143" s="1" cm="1">
        <f t="array" ref="K1143">SUMPRODUCT(("T-Plg-elc-gsl_S3"=[1]OUT_TransportEnergyCons!$A$3:$A$1000)*1,("Var_Fin"=[1]OUT_TransportEnergyCons!$B$3:$B$1000)*1,ISNUMBER(SEARCH("ELC",[1]OUT_TransportEnergyCons!$C$3:$C$1000))*1,[1]OUT_TransportEnergyCons!I$3:I$1000)</f>
        <v>0.59626672737993014</v>
      </c>
    </row>
    <row r="1144" spans="2:11" x14ac:dyDescent="0.35">
      <c r="B1144" s="5" t="str">
        <f t="shared" si="745"/>
        <v>SPS4</v>
      </c>
      <c r="C1144" s="5" t="str">
        <f t="shared" si="744"/>
        <v>CH</v>
      </c>
      <c r="D1144" t="s">
        <v>1247</v>
      </c>
      <c r="E1144" t="s">
        <v>8</v>
      </c>
      <c r="F1144" s="1" cm="1">
        <f t="array" ref="F1144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4" s="1" cm="1">
        <f t="array" ref="G1144">SUMPRODUCT(("T-Plg-elc-gsl_S4"=[1]OUT_TransportEnergyCons!$A$3:$A$1000)*1,("Var_Fin"=[1]OUT_TransportEnergyCons!$B$3:$B$1000)*1,ISNUMBER(SEARCH("ELC",[1]OUT_TransportEnergyCons!$C$3:$C$1000))*1,[1]OUT_TransportEnergyCons!E$3:E$1000)</f>
        <v>2.9449404361484314E-4</v>
      </c>
      <c r="H1144" s="1" cm="1">
        <f t="array" ref="H1144">SUMPRODUCT(("T-Plg-elc-gsl_S4"=[1]OUT_TransportEnergyCons!$A$3:$A$1000)*1,("Var_Fin"=[1]OUT_TransportEnergyCons!$B$3:$B$1000)*1,ISNUMBER(SEARCH("ELC",[1]OUT_TransportEnergyCons!$C$3:$C$1000))*1,[1]OUT_TransportEnergyCons!F$3:F$1000)</f>
        <v>5.146171664945156E-3</v>
      </c>
      <c r="I1144" s="1" cm="1">
        <f t="array" ref="I1144">SUMPRODUCT(("T-Plg-elc-gsl_S4"=[1]OUT_TransportEnergyCons!$A$3:$A$1000)*1,("Var_Fin"=[1]OUT_TransportEnergyCons!$B$3:$B$1000)*1,ISNUMBER(SEARCH("ELC",[1]OUT_TransportEnergyCons!$C$3:$C$1000))*1,[1]OUT_TransportEnergyCons!G$3:G$1000)</f>
        <v>6.212414436746581E-3</v>
      </c>
      <c r="J1144" s="1" cm="1">
        <f t="array" ref="J1144">SUMPRODUCT(("T-Plg-elc-gsl_S4"=[1]OUT_TransportEnergyCons!$A$3:$A$1000)*1,("Var_Fin"=[1]OUT_TransportEnergyCons!$B$3:$B$1000)*1,ISNUMBER(SEARCH("ELC",[1]OUT_TransportEnergyCons!$C$3:$C$1000))*1,[1]OUT_TransportEnergyCons!H$3:H$1000)</f>
        <v>1.2353244942665408E-3</v>
      </c>
      <c r="K1144" s="1" cm="1">
        <f t="array" ref="K1144">SUMPRODUCT(("T-Plg-elc-gsl_S4"=[1]OUT_TransportEnergyCons!$A$3:$A$1000)*1,("Var_Fin"=[1]OUT_TransportEnergyCons!$B$3:$B$1000)*1,ISNUMBER(SEARCH("ELC",[1]OUT_TransportEnergyCons!$C$3:$C$1000))*1,[1]OUT_TransportEnergyCons!I$3:I$1000)</f>
        <v>8.9559708992898042E-4</v>
      </c>
    </row>
    <row r="1145" spans="2:11" x14ac:dyDescent="0.35">
      <c r="B1145" s="5" t="str">
        <f t="shared" si="745"/>
        <v>SPS4</v>
      </c>
      <c r="C1145" s="5" t="str">
        <f t="shared" ref="C1145:C1149" si="746">C1144</f>
        <v>CH</v>
      </c>
      <c r="D1145" t="s">
        <v>1248</v>
      </c>
      <c r="E1145" t="s">
        <v>8</v>
      </c>
      <c r="F1145" s="1" cm="1">
        <f t="array" ref="F1145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SUMPRODUCT(("T-Plg-elc-dsl_S1"=[1]OUT_TransportEnergyCons!$A$3:$A$1000)*1,("Var_Fin"=[1]OUT_TransportEnergyCons!$B$3:$B$1000)*1,ISNUMBER(SEARCH("ELC",[1]OUT_TransportEnergyCons!$C$3:$C$1000))*1,[1]OUT_TransportEnergyCons!E$3:E$1000)</f>
        <v>2.8955687710222834E-5</v>
      </c>
      <c r="H1145" s="1" cm="1">
        <f t="array" ref="H1145">SUMPRODUCT(("T-Plg-elc-dsl_S1"=[1]OUT_TransportEnergyCons!$A$3:$A$1000)*1,("Var_Fin"=[1]OUT_TransportEnergyCons!$B$3:$B$1000)*1,ISNUMBER(SEARCH("ELC",[1]OUT_TransportEnergyCons!$C$3:$C$1000))*1,[1]OUT_TransportEnergyCons!F$3:F$1000)</f>
        <v>5.3246368252684305E-5</v>
      </c>
      <c r="I1145" s="1" cm="1">
        <f t="array" ref="I1145">SUMPRODUCT(("T-Plg-elc-dsl_S1"=[1]OUT_TransportEnergyCons!$A$3:$A$1000)*1,("Var_Fin"=[1]OUT_TransportEnergyCons!$B$3:$B$1000)*1,ISNUMBER(SEARCH("ELC",[1]OUT_TransportEnergyCons!$C$3:$C$1000))*1,[1]OUT_TransportEnergyCons!G$3:G$1000)</f>
        <v>9.3194648066650775E-5</v>
      </c>
      <c r="J1145" s="1" cm="1">
        <f t="array" ref="J1145">SUMPRODUCT(("T-Plg-elc-dsl_S1"=[1]OUT_TransportEnergyCons!$A$3:$A$1000)*1,("Var_Fin"=[1]OUT_TransportEnergyCons!$B$3:$B$1000)*1,ISNUMBER(SEARCH("ELC",[1]OUT_TransportEnergyCons!$C$3:$C$1000))*1,[1]OUT_TransportEnergyCons!H$3:H$1000)</f>
        <v>1.5713567670208966E-4</v>
      </c>
      <c r="K1145" s="1" cm="1">
        <f t="array" ref="K1145">SUMPRODUCT(("T-Plg-elc-dsl_S1"=[1]OUT_TransportEnergyCons!$A$3:$A$1000)*1,("Var_Fin"=[1]OUT_TransportEnergyCons!$B$3:$B$1000)*1,ISNUMBER(SEARCH("ELC",[1]OUT_TransportEnergyCons!$C$3:$C$1000))*1,[1]OUT_TransportEnergyCons!I$3:I$1000)</f>
        <v>1.299988830600016E-4</v>
      </c>
    </row>
    <row r="1146" spans="2:11" x14ac:dyDescent="0.35">
      <c r="B1146" s="5" t="str">
        <f t="shared" si="745"/>
        <v>SPS4</v>
      </c>
      <c r="C1146" s="5" t="str">
        <f t="shared" si="746"/>
        <v>CH</v>
      </c>
      <c r="D1146" t="s">
        <v>1249</v>
      </c>
      <c r="E1146" t="s">
        <v>8</v>
      </c>
      <c r="F1146" s="1" cm="1">
        <f t="array" ref="F1146">SUMPRODUCT(("T-Plg-elc-dsl_S2"=[1]OUT_TransportEnergyCons!$A$3:$A$1000)*1,("Var_Fin"=[1]OUT_TransportEnergyCons!$B$3:$B$1000)*1,ISNUMBER(SEARCH("ELC",[1]OUT_TransportEnergyCons!$C$3:$C$1000))*1,[1]OUT_TransportEnergyCons!D$3:D$1000)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SUMPRODUCT(("T-Plg-elc-dsl_S2"=[1]OUT_TransportEnergyCons!$A$3:$A$1000)*1,("Var_Fin"=[1]OUT_TransportEnergyCons!$B$3:$B$1000)*1,ISNUMBER(SEARCH("ELC",[1]OUT_TransportEnergyCons!$C$3:$C$1000))*1,[1]OUT_TransportEnergyCons!E$3:E$1000)</f>
        <v>3.6892136990981538E-5</v>
      </c>
      <c r="H1146" s="1" cm="1">
        <f t="array" ref="H1146">SUMPRODUCT(("T-Plg-elc-dsl_S2"=[1]OUT_TransportEnergyCons!$A$3:$A$1000)*1,("Var_Fin"=[1]OUT_TransportEnergyCons!$B$3:$B$1000)*1,ISNUMBER(SEARCH("ELC",[1]OUT_TransportEnergyCons!$C$3:$C$1000))*1,[1]OUT_TransportEnergyCons!F$3:F$1000)</f>
        <v>1.7584321006398838E-4</v>
      </c>
      <c r="I1146" s="1" cm="1">
        <f t="array" ref="I1146">SUMPRODUCT(("T-Plg-elc-dsl_S2"=[1]OUT_TransportEnergyCons!$A$3:$A$1000)*1,("Var_Fin"=[1]OUT_TransportEnergyCons!$B$3:$B$1000)*1,ISNUMBER(SEARCH("ELC",[1]OUT_TransportEnergyCons!$C$3:$C$1000))*1,[1]OUT_TransportEnergyCons!G$3:G$1000)</f>
        <v>3.5970430594162758E-4</v>
      </c>
      <c r="J1146" s="1" cm="1">
        <f t="array" ref="J1146">SUMPRODUCT(("T-Plg-elc-dsl_S2"=[1]OUT_TransportEnergyCons!$A$3:$A$1000)*1,("Var_Fin"=[1]OUT_TransportEnergyCons!$B$3:$B$1000)*1,ISNUMBER(SEARCH("ELC",[1]OUT_TransportEnergyCons!$C$3:$C$1000))*1,[1]OUT_TransportEnergyCons!H$3:H$1000)</f>
        <v>7.2634952567808228E-4</v>
      </c>
      <c r="K1146" s="1" cm="1">
        <f t="array" ref="K1146">SUMPRODUCT(("T-Plg-elc-dsl_S2"=[1]OUT_TransportEnergyCons!$A$3:$A$1000)*1,("Var_Fin"=[1]OUT_TransportEnergyCons!$B$3:$B$1000)*1,ISNUMBER(SEARCH("ELC",[1]OUT_TransportEnergyCons!$C$3:$C$1000))*1,[1]OUT_TransportEnergyCons!I$3:I$1000)</f>
        <v>4.195733828209123E-4</v>
      </c>
    </row>
    <row r="1147" spans="2:11" x14ac:dyDescent="0.35">
      <c r="B1147" s="5" t="str">
        <f t="shared" si="745"/>
        <v>SPS4</v>
      </c>
      <c r="C1147" s="5" t="str">
        <f t="shared" si="746"/>
        <v>CH</v>
      </c>
      <c r="D1147" t="s">
        <v>1250</v>
      </c>
      <c r="E1147" t="s">
        <v>8</v>
      </c>
      <c r="F1147" s="1" cm="1">
        <f t="array" ref="F1147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SUMPRODUCT(("T-Plg-elc-dsl_S3"=[1]OUT_TransportEnergyCons!$A$3:$A$1000)*1,("Var_Fin"=[1]OUT_TransportEnergyCons!$B$3:$B$1000)*1,ISNUMBER(SEARCH("ELC",[1]OUT_TransportEnergyCons!$C$3:$C$1000))*1,[1]OUT_TransportEnergyCons!E$3:E$1000)</f>
        <v>1.0008921719078421E-3</v>
      </c>
      <c r="H1147" s="1" cm="1">
        <f t="array" ref="H1147">SUMPRODUCT(("T-Plg-elc-dsl_S3"=[1]OUT_TransportEnergyCons!$A$3:$A$1000)*1,("Var_Fin"=[1]OUT_TransportEnergyCons!$B$3:$B$1000)*1,ISNUMBER(SEARCH("ELC",[1]OUT_TransportEnergyCons!$C$3:$C$1000))*1,[1]OUT_TransportEnergyCons!F$3:F$1000)</f>
        <v>0.13582722420078841</v>
      </c>
      <c r="I1147" s="1" cm="1">
        <f t="array" ref="I1147">SUMPRODUCT(("T-Plg-elc-dsl_S3"=[1]OUT_TransportEnergyCons!$A$3:$A$1000)*1,("Var_Fin"=[1]OUT_TransportEnergyCons!$B$3:$B$1000)*1,ISNUMBER(SEARCH("ELC",[1]OUT_TransportEnergyCons!$C$3:$C$1000))*1,[1]OUT_TransportEnergyCons!G$3:G$1000)</f>
        <v>1.0418159346146936</v>
      </c>
      <c r="J1147" s="1" cm="1">
        <f t="array" ref="J1147">SUMPRODUCT(("T-Plg-elc-dsl_S3"=[1]OUT_TransportEnergyCons!$A$3:$A$1000)*1,("Var_Fin"=[1]OUT_TransportEnergyCons!$B$3:$B$1000)*1,ISNUMBER(SEARCH("ELC",[1]OUT_TransportEnergyCons!$C$3:$C$1000))*1,[1]OUT_TransportEnergyCons!H$3:H$1000)</f>
        <v>2.8554547803134209</v>
      </c>
      <c r="K1147" s="1" cm="1">
        <f t="array" ref="K1147">SUMPRODUCT(("T-Plg-elc-dsl_S3"=[1]OUT_TransportEnergyCons!$A$3:$A$1000)*1,("Var_Fin"=[1]OUT_TransportEnergyCons!$B$3:$B$1000)*1,ISNUMBER(SEARCH("ELC",[1]OUT_TransportEnergyCons!$C$3:$C$1000))*1,[1]OUT_TransportEnergyCons!I$3:I$1000)</f>
        <v>2.0792090685950706</v>
      </c>
    </row>
    <row r="1148" spans="2:11" x14ac:dyDescent="0.35">
      <c r="B1148" s="5" t="str">
        <f t="shared" si="745"/>
        <v>SPS4</v>
      </c>
      <c r="C1148" s="5" t="str">
        <f t="shared" si="746"/>
        <v>CH</v>
      </c>
      <c r="D1148" t="s">
        <v>1251</v>
      </c>
      <c r="E1148" t="s">
        <v>8</v>
      </c>
      <c r="F1148" s="1" cm="1">
        <f t="array" ref="F1148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48" s="1" cm="1">
        <f t="array" ref="G1148">SUMPRODUCT(("T-Plg-elc-dsl_S4"=[1]OUT_TransportEnergyCons!$A$3:$A$1000)*1,("Var_Fin"=[1]OUT_TransportEnergyCons!$B$3:$B$1000)*1,ISNUMBER(SEARCH("ELC",[1]OUT_TransportEnergyCons!$C$3:$C$1000))*1,[1]OUT_TransportEnergyCons!E$3:E$1000)</f>
        <v>3.6592471832778051E-4</v>
      </c>
      <c r="H1148" s="1" cm="1">
        <f t="array" ref="H1148">SUMPRODUCT(("T-Plg-elc-dsl_S4"=[1]OUT_TransportEnergyCons!$A$3:$A$1000)*1,("Var_Fin"=[1]OUT_TransportEnergyCons!$B$3:$B$1000)*1,ISNUMBER(SEARCH("ELC",[1]OUT_TransportEnergyCons!$C$3:$C$1000))*1,[1]OUT_TransportEnergyCons!F$3:F$1000)</f>
        <v>6.2269484850476235E-4</v>
      </c>
      <c r="I1148" s="1" cm="1">
        <f t="array" ref="I1148">SUMPRODUCT(("T-Plg-elc-dsl_S4"=[1]OUT_TransportEnergyCons!$A$3:$A$1000)*1,("Var_Fin"=[1]OUT_TransportEnergyCons!$B$3:$B$1000)*1,ISNUMBER(SEARCH("ELC",[1]OUT_TransportEnergyCons!$C$3:$C$1000))*1,[1]OUT_TransportEnergyCons!G$3:G$1000)</f>
        <v>8.8889874309786097E-4</v>
      </c>
      <c r="J1148" s="1" cm="1">
        <f t="array" ref="J1148">SUMPRODUCT(("T-Plg-elc-dsl_S4"=[1]OUT_TransportEnergyCons!$A$3:$A$1000)*1,("Var_Fin"=[1]OUT_TransportEnergyCons!$B$3:$B$1000)*1,ISNUMBER(SEARCH("ELC",[1]OUT_TransportEnergyCons!$C$3:$C$1000))*1,[1]OUT_TransportEnergyCons!H$3:H$1000)</f>
        <v>1.3338938632529863E-3</v>
      </c>
      <c r="K1148" s="1" cm="1">
        <f t="array" ref="K1148">SUMPRODUCT(("T-Plg-elc-dsl_S4"=[1]OUT_TransportEnergyCons!$A$3:$A$1000)*1,("Var_Fin"=[1]OUT_TransportEnergyCons!$B$3:$B$1000)*1,ISNUMBER(SEARCH("ELC",[1]OUT_TransportEnergyCons!$C$3:$C$1000))*1,[1]OUT_TransportEnergyCons!I$3:I$1000)</f>
        <v>7.7831517445772086E-4</v>
      </c>
    </row>
    <row r="1149" spans="2:11" x14ac:dyDescent="0.35">
      <c r="B1149" s="5" t="str">
        <f t="shared" si="745"/>
        <v>SPS4</v>
      </c>
      <c r="C1149" s="5" t="str">
        <f t="shared" si="746"/>
        <v>CH</v>
      </c>
      <c r="D1149" t="s">
        <v>1252</v>
      </c>
      <c r="E1149" t="s">
        <v>8</v>
      </c>
      <c r="F1149" s="1">
        <f>[1]Transport!B$32</f>
        <v>0</v>
      </c>
      <c r="G1149" s="1">
        <f>[1]Transport!C$32</f>
        <v>0</v>
      </c>
      <c r="H1149" s="1">
        <f>[1]Transport!D$32</f>
        <v>0</v>
      </c>
      <c r="I1149" s="1">
        <f>[1]Transport!E$32</f>
        <v>5.7714930145061807E-2</v>
      </c>
      <c r="J1149" s="1">
        <f>[1]Transport!F$32</f>
        <v>0.3465241817986921</v>
      </c>
      <c r="K1149" s="1">
        <f>[1]Transport!G$32</f>
        <v>1.1013352287951115</v>
      </c>
    </row>
    <row r="1150" spans="2:11" x14ac:dyDescent="0.35">
      <c r="B1150" s="5" t="str">
        <f t="shared" si="745"/>
        <v>SPS4</v>
      </c>
      <c r="C1150" s="5" t="str">
        <f>C1144</f>
        <v>CH</v>
      </c>
      <c r="D1150" t="s">
        <v>1253</v>
      </c>
      <c r="E1150" t="s">
        <v>8</v>
      </c>
      <c r="F1150" s="1">
        <f>SUM(F1151:F1154)</f>
        <v>8.4616156662048123E-4</v>
      </c>
      <c r="G1150" s="1">
        <f t="shared" ref="G1150:K1150" si="747">SUM(G1151:G1154)</f>
        <v>2.0157374951633804E-3</v>
      </c>
      <c r="H1150" s="1">
        <f t="shared" si="747"/>
        <v>1.9446591169627009E-3</v>
      </c>
      <c r="I1150" s="1">
        <f t="shared" si="747"/>
        <v>2.1570554599615504E-4</v>
      </c>
      <c r="J1150" s="1">
        <f t="shared" si="747"/>
        <v>1.4953071181795922E-4</v>
      </c>
      <c r="K1150" s="1">
        <f t="shared" si="747"/>
        <v>1.3991915095480287E-4</v>
      </c>
    </row>
    <row r="1151" spans="2:11" x14ac:dyDescent="0.35">
      <c r="B1151" s="5" t="str">
        <f t="shared" si="745"/>
        <v>SPS4</v>
      </c>
      <c r="C1151" s="5" t="str">
        <f t="shared" si="744"/>
        <v>CH</v>
      </c>
      <c r="D1151" t="s">
        <v>1254</v>
      </c>
      <c r="E1151" t="s">
        <v>8</v>
      </c>
      <c r="F1151" s="1" cm="1">
        <f t="array" ref="F1151">SUMPRODUCT(("T_C-FC-H2O-S1"=[1]OUT_TransportEnergyCons!$A$3:$A$1000)*1,("Var_Fin"=[1]OUT_TransportEnergyCons!$B$3:$B$1000)*1,ISNUMBER(SEARCH("H2",[1]OUT_TransportEnergyCons!$C$3:$C$1000))*1,[1]OUT_TransportEnergyCons!D$3:D$1000)</f>
        <v>0</v>
      </c>
      <c r="G1151" s="1" cm="1">
        <f t="array" ref="G1151">SUMPRODUCT(("T_C-FC-H2O-S1"=[1]OUT_TransportEnergyCons!$A$3:$A$1000)*1,("Var_Fin"=[1]OUT_TransportEnergyCons!$B$3:$B$1000)*1,ISNUMBER(SEARCH("H2",[1]OUT_TransportEnergyCons!$C$3:$C$1000))*1,[1]OUT_TransportEnergyCons!E$3:E$1000)</f>
        <v>1.6695478862257185E-5</v>
      </c>
      <c r="H1151" s="1" cm="1">
        <f t="array" ref="H1151">SUMPRODUCT(("T_C-FC-H2O-S1"=[1]OUT_TransportEnergyCons!$A$3:$A$1000)*1,("Var_Fin"=[1]OUT_TransportEnergyCons!$B$3:$B$1000)*1,ISNUMBER(SEARCH("H2",[1]OUT_TransportEnergyCons!$C$3:$C$1000))*1,[1]OUT_TransportEnergyCons!F$3:F$1000)</f>
        <v>2.7232611626638638E-5</v>
      </c>
      <c r="I1151" s="1" cm="1">
        <f t="array" ref="I1151">SUMPRODUCT(("T_C-FC-H2O-S1"=[1]OUT_TransportEnergyCons!$A$3:$A$1000)*1,("Var_Fin"=[1]OUT_TransportEnergyCons!$B$3:$B$1000)*1,ISNUMBER(SEARCH("H2",[1]OUT_TransportEnergyCons!$C$3:$C$1000))*1,[1]OUT_TransportEnergyCons!G$3:G$1000)</f>
        <v>1.6321028300713866E-5</v>
      </c>
      <c r="J1151" s="1" cm="1">
        <f t="array" ref="J1151">SUMPRODUCT(("T_C-FC-H2O-S1"=[1]OUT_TransportEnergyCons!$A$3:$A$1000)*1,("Var_Fin"=[1]OUT_TransportEnergyCons!$B$3:$B$1000)*1,ISNUMBER(SEARCH("H2",[1]OUT_TransportEnergyCons!$C$3:$C$1000))*1,[1]OUT_TransportEnergyCons!H$3:H$1000)</f>
        <v>2.3130209643028971E-5</v>
      </c>
      <c r="K1151" s="1" cm="1">
        <f t="array" ref="K1151">SUMPRODUCT(("T_C-FC-H2O-S1"=[1]OUT_TransportEnergyCons!$A$3:$A$1000)*1,("Var_Fin"=[1]OUT_TransportEnergyCons!$B$3:$B$1000)*1,ISNUMBER(SEARCH("H2",[1]OUT_TransportEnergyCons!$C$3:$C$1000))*1,[1]OUT_TransportEnergyCons!I$3:I$1000)</f>
        <v>1.7564982165626898E-5</v>
      </c>
    </row>
    <row r="1152" spans="2:11" x14ac:dyDescent="0.35">
      <c r="B1152" s="5" t="str">
        <f t="shared" si="745"/>
        <v>SPS4</v>
      </c>
      <c r="C1152" s="5" t="str">
        <f t="shared" si="744"/>
        <v>CH</v>
      </c>
      <c r="D1152" t="s">
        <v>1255</v>
      </c>
      <c r="E1152" t="s">
        <v>8</v>
      </c>
      <c r="F1152" s="1" cm="1">
        <f t="array" ref="F1152">SUMPRODUCT(("T_C-FC-H2O-S2"=[1]OUT_TransportEnergyCons!$A$3:$A$1000)*1,("Var_Fin"=[1]OUT_TransportEnergyCons!$B$3:$B$1000)*1,ISNUMBER(SEARCH("H2",[1]OUT_TransportEnergyCons!$C$3:$C$1000))*1,[1]OUT_TransportEnergyCons!D$3:D$1000)</f>
        <v>8.2464083238559168E-5</v>
      </c>
      <c r="G1152" s="1" cm="1">
        <f t="array" ref="G1152">SUMPRODUCT(("T_C-FC-H2O-S2"=[1]OUT_TransportEnergyCons!$A$3:$A$1000)*1,("Var_Fin"=[1]OUT_TransportEnergyCons!$B$3:$B$1000)*1,ISNUMBER(SEARCH("H2",[1]OUT_TransportEnergyCons!$C$3:$C$1000))*1,[1]OUT_TransportEnergyCons!E$3:E$1000)</f>
        <v>1.0940555766371711E-4</v>
      </c>
      <c r="H1152" s="1" cm="1">
        <f t="array" ref="H1152">SUMPRODUCT(("T_C-FC-H2O-S2"=[1]OUT_TransportEnergyCons!$A$3:$A$1000)*1,("Var_Fin"=[1]OUT_TransportEnergyCons!$B$3:$B$1000)*1,ISNUMBER(SEARCH("H2",[1]OUT_TransportEnergyCons!$C$3:$C$1000))*1,[1]OUT_TransportEnergyCons!F$3:F$1000)</f>
        <v>1.2202300585622158E-4</v>
      </c>
      <c r="I1152" s="1" cm="1">
        <f t="array" ref="I1152">SUMPRODUCT(("T_C-FC-H2O-S2"=[1]OUT_TransportEnergyCons!$A$3:$A$1000)*1,("Var_Fin"=[1]OUT_TransportEnergyCons!$B$3:$B$1000)*1,ISNUMBER(SEARCH("H2",[1]OUT_TransportEnergyCons!$C$3:$C$1000))*1,[1]OUT_TransportEnergyCons!G$3:G$1000)</f>
        <v>4.8202431810487266E-5</v>
      </c>
      <c r="J1152" s="1" cm="1">
        <f t="array" ref="J1152">SUMPRODUCT(("T_C-FC-H2O-S2"=[1]OUT_TransportEnergyCons!$A$3:$A$1000)*1,("Var_Fin"=[1]OUT_TransportEnergyCons!$B$3:$B$1000)*1,ISNUMBER(SEARCH("H2",[1]OUT_TransportEnergyCons!$C$3:$C$1000))*1,[1]OUT_TransportEnergyCons!H$3:H$1000)</f>
        <v>4.0090770378814537E-5</v>
      </c>
      <c r="K1152" s="1" cm="1">
        <f t="array" ref="K1152">SUMPRODUCT(("T_C-FC-H2O-S2"=[1]OUT_TransportEnergyCons!$A$3:$A$1000)*1,("Var_Fin"=[1]OUT_TransportEnergyCons!$B$3:$B$1000)*1,ISNUMBER(SEARCH("H2",[1]OUT_TransportEnergyCons!$C$3:$C$1000))*1,[1]OUT_TransportEnergyCons!I$3:I$1000)</f>
        <v>3.47309264836999E-5</v>
      </c>
    </row>
    <row r="1153" spans="2:11" x14ac:dyDescent="0.35">
      <c r="B1153" s="5" t="str">
        <f t="shared" si="745"/>
        <v>SPS4</v>
      </c>
      <c r="C1153" s="5" t="str">
        <f t="shared" si="744"/>
        <v>CH</v>
      </c>
      <c r="D1153" t="s">
        <v>1256</v>
      </c>
      <c r="E1153" t="s">
        <v>8</v>
      </c>
      <c r="F1153" s="1" cm="1">
        <f t="array" ref="F1153">SUMPRODUCT(("T_C-FC-H2O-S3"=[1]OUT_TransportEnergyCons!$A$3:$A$1000)*1,("Var_Fin"=[1]OUT_TransportEnergyCons!$B$3:$B$1000)*1,ISNUMBER(SEARCH("H2",[1]OUT_TransportEnergyCons!$C$3:$C$1000))*1,[1]OUT_TransportEnergyCons!D$3:D$1000)</f>
        <v>7.6369748338192208E-4</v>
      </c>
      <c r="G1153" s="1" cm="1">
        <f t="array" ref="G1153">SUMPRODUCT(("T_C-FC-H2O-S3"=[1]OUT_TransportEnergyCons!$A$3:$A$1000)*1,("Var_Fin"=[1]OUT_TransportEnergyCons!$B$3:$B$1000)*1,ISNUMBER(SEARCH("H2",[1]OUT_TransportEnergyCons!$C$3:$C$1000))*1,[1]OUT_TransportEnergyCons!E$3:E$1000)</f>
        <v>1.8690073032745762E-3</v>
      </c>
      <c r="H1153" s="1" cm="1">
        <f t="array" ref="H1153">SUMPRODUCT(("T_C-FC-H2O-S3"=[1]OUT_TransportEnergyCons!$A$3:$A$1000)*1,("Var_Fin"=[1]OUT_TransportEnergyCons!$B$3:$B$1000)*1,ISNUMBER(SEARCH("H2",[1]OUT_TransportEnergyCons!$C$3:$C$1000))*1,[1]OUT_TransportEnergyCons!F$3:F$1000)</f>
        <v>1.7594499080530828E-3</v>
      </c>
      <c r="I1153" s="1" cm="1">
        <f t="array" ref="I1153">SUMPRODUCT(("T_C-FC-H2O-S3"=[1]OUT_TransportEnergyCons!$A$3:$A$1000)*1,("Var_Fin"=[1]OUT_TransportEnergyCons!$B$3:$B$1000)*1,ISNUMBER(SEARCH("H2",[1]OUT_TransportEnergyCons!$C$3:$C$1000))*1,[1]OUT_TransportEnergyCons!G$3:G$1000)</f>
        <v>1.1541002470448026E-4</v>
      </c>
      <c r="J1153" s="1" cm="1">
        <f t="array" ref="J1153">SUMPRODUCT(("T_C-FC-H2O-S3"=[1]OUT_TransportEnergyCons!$A$3:$A$1000)*1,("Var_Fin"=[1]OUT_TransportEnergyCons!$B$3:$B$1000)*1,ISNUMBER(SEARCH("H2",[1]OUT_TransportEnergyCons!$C$3:$C$1000))*1,[1]OUT_TransportEnergyCons!H$3:H$1000)</f>
        <v>4.2759139241093998E-5</v>
      </c>
      <c r="K1153" s="1" cm="1">
        <f t="array" ref="K1153">SUMPRODUCT(("T_C-FC-H2O-S3"=[1]OUT_TransportEnergyCons!$A$3:$A$1000)*1,("Var_Fin"=[1]OUT_TransportEnergyCons!$B$3:$B$1000)*1,ISNUMBER(SEARCH("H2",[1]OUT_TransportEnergyCons!$C$3:$C$1000))*1,[1]OUT_TransportEnergyCons!I$3:I$1000)</f>
        <v>4.1503000567315846E-5</v>
      </c>
    </row>
    <row r="1154" spans="2:11" x14ac:dyDescent="0.35">
      <c r="B1154" s="5" t="str">
        <f t="shared" si="745"/>
        <v>SPS4</v>
      </c>
      <c r="C1154" s="5" t="str">
        <f t="shared" si="744"/>
        <v>CH</v>
      </c>
      <c r="D1154" t="s">
        <v>1257</v>
      </c>
      <c r="E1154" t="s">
        <v>8</v>
      </c>
      <c r="F1154" s="1" cm="1">
        <f t="array" ref="F1154">SUMPRODUCT(("T_C-FC-H2O-S4"=[1]OUT_TransportEnergyCons!$A$3:$A$1000)*1,("Var_Fin"=[1]OUT_TransportEnergyCons!$B$3:$B$1000)*1,ISNUMBER(SEARCH("H2",[1]OUT_TransportEnergyCons!$C$3:$C$1000))*1,[1]OUT_TransportEnergyCons!D$3:D$1000)</f>
        <v>0</v>
      </c>
      <c r="G1154" s="1" cm="1">
        <f t="array" ref="G1154">SUMPRODUCT(("T_C-FC-H2O-S4"=[1]OUT_TransportEnergyCons!$A$3:$A$1000)*1,("Var_Fin"=[1]OUT_TransportEnergyCons!$B$3:$B$1000)*1,ISNUMBER(SEARCH("H2",[1]OUT_TransportEnergyCons!$C$3:$C$1000))*1,[1]OUT_TransportEnergyCons!E$3:E$1000)</f>
        <v>2.0629155362830147E-5</v>
      </c>
      <c r="H1154" s="1" cm="1">
        <f t="array" ref="H1154">SUMPRODUCT(("T_C-FC-H2O-S4"=[1]OUT_TransportEnergyCons!$A$3:$A$1000)*1,("Var_Fin"=[1]OUT_TransportEnergyCons!$B$3:$B$1000)*1,ISNUMBER(SEARCH("H2",[1]OUT_TransportEnergyCons!$C$3:$C$1000))*1,[1]OUT_TransportEnergyCons!F$3:F$1000)</f>
        <v>3.5953591426757909E-5</v>
      </c>
      <c r="I1154" s="1" cm="1">
        <f t="array" ref="I1154">SUMPRODUCT(("T_C-FC-H2O-S4"=[1]OUT_TransportEnergyCons!$A$3:$A$1000)*1,("Var_Fin"=[1]OUT_TransportEnergyCons!$B$3:$B$1000)*1,ISNUMBER(SEARCH("H2",[1]OUT_TransportEnergyCons!$C$3:$C$1000))*1,[1]OUT_TransportEnergyCons!G$3:G$1000)</f>
        <v>3.5772061180473667E-5</v>
      </c>
      <c r="J1154" s="1" cm="1">
        <f t="array" ref="J1154">SUMPRODUCT(("T_C-FC-H2O-S4"=[1]OUT_TransportEnergyCons!$A$3:$A$1000)*1,("Var_Fin"=[1]OUT_TransportEnergyCons!$B$3:$B$1000)*1,ISNUMBER(SEARCH("H2",[1]OUT_TransportEnergyCons!$C$3:$C$1000))*1,[1]OUT_TransportEnergyCons!H$3:H$1000)</f>
        <v>4.3550592555021694E-5</v>
      </c>
      <c r="K1154" s="1" cm="1">
        <f t="array" ref="K1154">SUMPRODUCT(("T_C-FC-H2O-S4"=[1]OUT_TransportEnergyCons!$A$3:$A$1000)*1,("Var_Fin"=[1]OUT_TransportEnergyCons!$B$3:$B$1000)*1,ISNUMBER(SEARCH("H2",[1]OUT_TransportEnergyCons!$C$3:$C$1000))*1,[1]OUT_TransportEnergyCons!I$3:I$1000)</f>
        <v>4.612024173816023E-5</v>
      </c>
    </row>
    <row r="1155" spans="2:11" x14ac:dyDescent="0.35">
      <c r="B1155" s="5" t="str">
        <f t="shared" si="745"/>
        <v>SPS4</v>
      </c>
      <c r="C1155" s="5" t="str">
        <f t="shared" si="744"/>
        <v>CH</v>
      </c>
      <c r="D1155" t="s">
        <v>1258</v>
      </c>
      <c r="E1155" t="s">
        <v>8</v>
      </c>
      <c r="F1155" s="1">
        <f>SUM(F1160:F1177)</f>
        <v>77.895736679872016</v>
      </c>
      <c r="G1155" s="1">
        <f t="shared" ref="G1155:K1155" si="748">SUM(G1160:G1177)</f>
        <v>73.536816425173228</v>
      </c>
      <c r="H1155" s="1">
        <f t="shared" si="748"/>
        <v>71.619991745755101</v>
      </c>
      <c r="I1155" s="1">
        <f t="shared" si="748"/>
        <v>54.47909720774733</v>
      </c>
      <c r="J1155" s="1">
        <f t="shared" si="748"/>
        <v>37.048930932516441</v>
      </c>
      <c r="K1155" s="1">
        <f t="shared" si="748"/>
        <v>26.833235155854069</v>
      </c>
    </row>
    <row r="1156" spans="2:11" x14ac:dyDescent="0.35">
      <c r="B1156" s="5" t="str">
        <f t="shared" si="745"/>
        <v>SPS4</v>
      </c>
      <c r="C1156" s="5" t="str">
        <f t="shared" si="744"/>
        <v>CH</v>
      </c>
      <c r="D1156" t="s">
        <v>1259</v>
      </c>
      <c r="E1156" t="str">
        <f>E1155</f>
        <v>PJ/yr.</v>
      </c>
      <c r="F1156" s="1">
        <f>F1155-F1157</f>
        <v>73.631651557697765</v>
      </c>
      <c r="G1156" s="1">
        <f t="shared" ref="G1156:K1156" si="749">G1155-G1157</f>
        <v>69.511054978570016</v>
      </c>
      <c r="H1156" s="1">
        <f t="shared" si="749"/>
        <v>67.699437152765114</v>
      </c>
      <c r="I1156" s="1">
        <f t="shared" si="749"/>
        <v>51.4952234129602</v>
      </c>
      <c r="J1156" s="1">
        <f t="shared" si="749"/>
        <v>35.020355309298111</v>
      </c>
      <c r="K1156" s="1">
        <f t="shared" si="749"/>
        <v>25.363925542862255</v>
      </c>
    </row>
    <row r="1157" spans="2:11" x14ac:dyDescent="0.35">
      <c r="B1157" s="5" t="str">
        <f t="shared" si="745"/>
        <v>SPS4</v>
      </c>
      <c r="C1157" s="5" t="str">
        <f t="shared" si="744"/>
        <v>CH</v>
      </c>
      <c r="D1157" t="s">
        <v>1260</v>
      </c>
      <c r="E1157" t="str">
        <f>E1156</f>
        <v>PJ/yr.</v>
      </c>
      <c r="F1157" s="1">
        <f>SUM(F1158:F1159)</f>
        <v>4.2640851221742491</v>
      </c>
      <c r="G1157" s="1">
        <f t="shared" ref="G1157" si="750">SUM(G1158:G1159)</f>
        <v>4.0257614466032079</v>
      </c>
      <c r="H1157" s="1">
        <f t="shared" ref="H1157" si="751">SUM(H1158:H1159)</f>
        <v>3.9205545929899848</v>
      </c>
      <c r="I1157" s="1">
        <f t="shared" ref="I1157" si="752">SUM(I1158:I1159)</f>
        <v>2.9838737947871299</v>
      </c>
      <c r="J1157" s="1">
        <f t="shared" ref="J1157" si="753">SUM(J1158:J1159)</f>
        <v>2.0285756232183312</v>
      </c>
      <c r="K1157" s="1">
        <f t="shared" ref="K1157" si="754">SUM(K1158:K1159)</f>
        <v>1.4693096129918151</v>
      </c>
    </row>
    <row r="1158" spans="2:11" x14ac:dyDescent="0.35">
      <c r="B1158" s="5" t="str">
        <f t="shared" si="745"/>
        <v>SPS4</v>
      </c>
      <c r="C1158" s="5" t="str">
        <f t="shared" si="744"/>
        <v>CH</v>
      </c>
      <c r="D1158" t="s">
        <v>1261</v>
      </c>
      <c r="E1158" t="str">
        <f>E1157</f>
        <v>PJ/yr.</v>
      </c>
      <c r="F1158" s="1">
        <f>[1]Transport!B$25/SUM([1]Transport!B$21,[1]Transport!B$25)*F1155*(F$34+F$598)/(F$34+F$598+F$37)</f>
        <v>4.2640851221742491</v>
      </c>
      <c r="G1158" s="1">
        <f>[1]Transport!C$25/SUM([1]Transport!C$21,[1]Transport!C$25)*G1155*(G$34+G$598)/(G$34+G$598+G$37)</f>
        <v>4.0257614466032079</v>
      </c>
      <c r="H1158" s="1">
        <f>[1]Transport!D$25/SUM([1]Transport!D$21,[1]Transport!D$25)*H1155*(H$34+H$598)/(H$34+H$598+H$37)</f>
        <v>3.9205545929899848</v>
      </c>
      <c r="I1158" s="1">
        <f>[1]Transport!E$25/SUM([1]Transport!E$21,[1]Transport!E$25)*I1155*(I$34+I$598)/(I$34+I$598+I$37)</f>
        <v>2.9838737947871299</v>
      </c>
      <c r="J1158" s="1">
        <f>[1]Transport!F$25/SUM([1]Transport!F$21,[1]Transport!F$25)*J1155*(J$34+J$598)/(J$34+J$598+J$37)</f>
        <v>2.0285756232183312</v>
      </c>
      <c r="K1158" s="1">
        <f>[1]Transport!G$25/SUM([1]Transport!G$21,[1]Transport!G$25)*K1155*(K$34+K$598)/(K$34+K$598+K$37)</f>
        <v>1.4693096129918151</v>
      </c>
    </row>
    <row r="1159" spans="2:11" x14ac:dyDescent="0.35">
      <c r="B1159" s="5" t="str">
        <f t="shared" si="745"/>
        <v>SPS4</v>
      </c>
      <c r="C1159" s="5" t="str">
        <f t="shared" si="744"/>
        <v>CH</v>
      </c>
      <c r="D1159" t="s">
        <v>1262</v>
      </c>
      <c r="E1159" t="str">
        <f>E1158</f>
        <v>PJ/yr.</v>
      </c>
      <c r="F1159" s="1">
        <f>(F$37+F$717)/([1]Transport!B$21+[1]Transport!B$25)*F1155</f>
        <v>0</v>
      </c>
      <c r="G1159" s="1">
        <f>(G$37+G$717)/([1]Transport!C$21+[1]Transport!C$25)*G1155</f>
        <v>0</v>
      </c>
      <c r="H1159" s="1">
        <f>(H$37+H$717)/([1]Transport!D$21+[1]Transport!D$25)*H1155</f>
        <v>0</v>
      </c>
      <c r="I1159" s="1">
        <f>(I$37+I$717)/([1]Transport!E$21+[1]Transport!E$25)*I1155</f>
        <v>0</v>
      </c>
      <c r="J1159" s="1">
        <f>(J$37+J$717)/([1]Transport!F$21+[1]Transport!F$25)*J1155</f>
        <v>0</v>
      </c>
      <c r="K1159" s="1">
        <f>(K$37+K$717)/([1]Transport!G$21+[1]Transport!G$25)*K1155</f>
        <v>0</v>
      </c>
    </row>
    <row r="1160" spans="2:11" x14ac:dyDescent="0.35">
      <c r="B1160" s="5" t="str">
        <f t="shared" si="745"/>
        <v>SPS4</v>
      </c>
      <c r="C1160" s="5" t="str">
        <f>C1155</f>
        <v>CH</v>
      </c>
      <c r="D1160" t="s">
        <v>1263</v>
      </c>
      <c r="E1160" t="s">
        <v>8</v>
      </c>
      <c r="F1160" s="1" cm="1">
        <f t="array" ref="F1160">SUMPRODUCT(("T_C-HYBGSLEXT"=[1]OUT_TransportEnergyCons!$A$3:$A$1000)*1,("Var_Fin"=[1]OUT_TransportEnergyCons!$B$3:$B$1000)*1,ISNUMBER(SEARCH("GSL",[1]OUT_TransportEnergyCons!$C$3:$C$1000))*1,[1]OUT_TransportEnergyCons!D$3:D$1000)</f>
        <v>1.254073846705833</v>
      </c>
      <c r="G1160" s="1" cm="1">
        <f t="array" ref="G1160">SUMPRODUCT(("T_C-HYBGSLEXT"=[1]OUT_TransportEnergyCons!$A$3:$A$1000)*1,("Var_Fin"=[1]OUT_TransportEnergyCons!$B$3:$B$1000)*1,ISNUMBER(SEARCH("GSL",[1]OUT_TransportEnergyCons!$C$3:$C$1000))*1,[1]OUT_TransportEnergyCons!E$3:E$1000)</f>
        <v>1.2428812408477545</v>
      </c>
      <c r="H1160" s="1" cm="1">
        <f t="array" ref="H1160">SUMPRODUCT(("T_C-HYBGSLEXT"=[1]OUT_TransportEnergyCons!$A$3:$A$1000)*1,("Var_Fin"=[1]OUT_TransportEnergyCons!$B$3:$B$1000)*1,ISNUMBER(SEARCH("GSL",[1]OUT_TransportEnergyCons!$C$3:$C$1000))*1,[1]OUT_TransportEnergyCons!F$3:F$1000)</f>
        <v>0.92519089047289749</v>
      </c>
      <c r="I1160" s="1" cm="1">
        <f t="array" ref="I1160">SUMPRODUCT(("T_C-HYBGSLEXT"=[1]OUT_TransportEnergyCons!$A$3:$A$1000)*1,("Var_Fin"=[1]OUT_TransportEnergyCons!$B$3:$B$1000)*1,ISNUMBER(SEARCH("GSL",[1]OUT_TransportEnergyCons!$C$3:$C$1000))*1,[1]OUT_TransportEnergyCons!G$3:G$1000)</f>
        <v>0.43897760429445071</v>
      </c>
      <c r="J1160" s="1" cm="1">
        <f t="array" ref="J1160">SUMPRODUCT(("T_C-HYBGSLEXT"=[1]OUT_TransportEnergyCons!$A$3:$A$1000)*1,("Var_Fin"=[1]OUT_TransportEnergyCons!$B$3:$B$1000)*1,ISNUMBER(SEARCH("GSL",[1]OUT_TransportEnergyCons!$C$3:$C$1000))*1,[1]OUT_TransportEnergyCons!H$3:H$1000)</f>
        <v>0</v>
      </c>
      <c r="K1160" s="1" cm="1">
        <f t="array" ref="K1160">SUMPRODUCT(("T_C-HYBGSLEXT"=[1]OUT_TransportEnergyCons!$A$3:$A$1000)*1,("Var_Fin"=[1]OUT_TransportEnergyCons!$B$3:$B$1000)*1,ISNUMBER(SEARCH("GSL",[1]OUT_TransportEnergyCons!$C$3:$C$1000))*1,[1]OUT_TransportEnergyCons!I$3:I$1000)</f>
        <v>0</v>
      </c>
    </row>
    <row r="1161" spans="2:11" x14ac:dyDescent="0.35">
      <c r="B1161" s="5" t="str">
        <f t="shared" si="745"/>
        <v>SPS4</v>
      </c>
      <c r="C1161" s="5" t="str">
        <f t="shared" si="744"/>
        <v>CH</v>
      </c>
      <c r="D1161" t="s">
        <v>1264</v>
      </c>
      <c r="E1161" t="s">
        <v>8</v>
      </c>
      <c r="F1161" s="1" cm="1">
        <f t="array" ref="F1161">SUMPRODUCT(("T_C-HY-GSL-S1"=[1]OUT_TransportEnergyCons!$A$3:$A$1000)*1,("Var_Fin"=[1]OUT_TransportEnergyCons!$B$3:$B$1000)*1,ISNUMBER(SEARCH("GSL",[1]OUT_TransportEnergyCons!$C$3:$C$1000))*1,[1]OUT_TransportEnergyCons!D$3:D$1000)</f>
        <v>4.5772141514599012E-2</v>
      </c>
      <c r="G1161" s="1" cm="1">
        <f t="array" ref="G1161">SUMPRODUCT(("T_C-HY-GSL-S1"=[1]OUT_TransportEnergyCons!$A$3:$A$1000)*1,("Var_Fin"=[1]OUT_TransportEnergyCons!$B$3:$B$1000)*1,ISNUMBER(SEARCH("GSL",[1]OUT_TransportEnergyCons!$C$3:$C$1000))*1,[1]OUT_TransportEnergyCons!E$3:E$1000)</f>
        <v>5.4037317769156205E-2</v>
      </c>
      <c r="H1161" s="1" cm="1">
        <f t="array" ref="H1161">SUMPRODUCT(("T_C-HY-GSL-S1"=[1]OUT_TransportEnergyCons!$A$3:$A$1000)*1,("Var_Fin"=[1]OUT_TransportEnergyCons!$B$3:$B$1000)*1,ISNUMBER(SEARCH("GSL",[1]OUT_TransportEnergyCons!$C$3:$C$1000))*1,[1]OUT_TransportEnergyCons!F$3:F$1000)</f>
        <v>3.858362875110722E-2</v>
      </c>
      <c r="I1161" s="1" cm="1">
        <f t="array" ref="I1161">SUMPRODUCT(("T_C-HY-GSL-S1"=[1]OUT_TransportEnergyCons!$A$3:$A$1000)*1,("Var_Fin"=[1]OUT_TransportEnergyCons!$B$3:$B$1000)*1,ISNUMBER(SEARCH("GSL",[1]OUT_TransportEnergyCons!$C$3:$C$1000))*1,[1]OUT_TransportEnergyCons!G$3:G$1000)</f>
        <v>2.9919253016935387E-2</v>
      </c>
      <c r="J1161" s="1" cm="1">
        <f t="array" ref="J1161">SUMPRODUCT(("T_C-HY-GSL-S1"=[1]OUT_TransportEnergyCons!$A$3:$A$1000)*1,("Var_Fin"=[1]OUT_TransportEnergyCons!$B$3:$B$1000)*1,ISNUMBER(SEARCH("GSL",[1]OUT_TransportEnergyCons!$C$3:$C$1000))*1,[1]OUT_TransportEnergyCons!H$3:H$1000)</f>
        <v>0.82514426458467649</v>
      </c>
      <c r="K1161" s="1" cm="1">
        <f t="array" ref="K1161">SUMPRODUCT(("T_C-HY-GSL-S1"=[1]OUT_TransportEnergyCons!$A$3:$A$1000)*1,("Var_Fin"=[1]OUT_TransportEnergyCons!$B$3:$B$1000)*1,ISNUMBER(SEARCH("GSL",[1]OUT_TransportEnergyCons!$C$3:$C$1000))*1,[1]OUT_TransportEnergyCons!I$3:I$1000)</f>
        <v>0.37140895875197988</v>
      </c>
    </row>
    <row r="1162" spans="2:11" x14ac:dyDescent="0.35">
      <c r="B1162" s="5" t="str">
        <f t="shared" si="745"/>
        <v>SPS4</v>
      </c>
      <c r="C1162" s="5" t="str">
        <f t="shared" si="744"/>
        <v>CH</v>
      </c>
      <c r="D1162" t="s">
        <v>1265</v>
      </c>
      <c r="E1162" t="s">
        <v>8</v>
      </c>
      <c r="F1162" s="1" cm="1">
        <f t="array" ref="F1162">SUMPRODUCT(("T_C-HY-GSL-S2"=[1]OUT_TransportEnergyCons!$A$3:$A$1000)*1,("Var_Fin"=[1]OUT_TransportEnergyCons!$B$3:$B$1000)*1,ISNUMBER(SEARCH("GSL",[1]OUT_TransportEnergyCons!$C$3:$C$1000))*1,[1]OUT_TransportEnergyCons!D$3:D$1000)</f>
        <v>0.13839477919533616</v>
      </c>
      <c r="G1162" s="1" cm="1">
        <f t="array" ref="G1162">SUMPRODUCT(("T_C-HY-GSL-S2"=[1]OUT_TransportEnergyCons!$A$3:$A$1000)*1,("Var_Fin"=[1]OUT_TransportEnergyCons!$B$3:$B$1000)*1,ISNUMBER(SEARCH("GSL",[1]OUT_TransportEnergyCons!$C$3:$C$1000))*1,[1]OUT_TransportEnergyCons!E$3:E$1000)</f>
        <v>0.24838815894046568</v>
      </c>
      <c r="H1162" s="1" cm="1">
        <f t="array" ref="H1162">SUMPRODUCT(("T_C-HY-GSL-S2"=[1]OUT_TransportEnergyCons!$A$3:$A$1000)*1,("Var_Fin"=[1]OUT_TransportEnergyCons!$B$3:$B$1000)*1,ISNUMBER(SEARCH("GSL",[1]OUT_TransportEnergyCons!$C$3:$C$1000))*1,[1]OUT_TransportEnergyCons!F$3:F$1000)</f>
        <v>0.61369782128922867</v>
      </c>
      <c r="I1162" s="1" cm="1">
        <f t="array" ref="I1162">SUMPRODUCT(("T_C-HY-GSL-S2"=[1]OUT_TransportEnergyCons!$A$3:$A$1000)*1,("Var_Fin"=[1]OUT_TransportEnergyCons!$B$3:$B$1000)*1,ISNUMBER(SEARCH("GSL",[1]OUT_TransportEnergyCons!$C$3:$C$1000))*1,[1]OUT_TransportEnergyCons!G$3:G$1000)</f>
        <v>0.51595967860556458</v>
      </c>
      <c r="J1162" s="1" cm="1">
        <f t="array" ref="J1162">SUMPRODUCT(("T_C-HY-GSL-S2"=[1]OUT_TransportEnergyCons!$A$3:$A$1000)*1,("Var_Fin"=[1]OUT_TransportEnergyCons!$B$3:$B$1000)*1,ISNUMBER(SEARCH("GSL",[1]OUT_TransportEnergyCons!$C$3:$C$1000))*1,[1]OUT_TransportEnergyCons!H$3:H$1000)</f>
        <v>1.0092659397267261</v>
      </c>
      <c r="K1162" s="1" cm="1">
        <f t="array" ref="K1162">SUMPRODUCT(("T_C-HY-GSL-S2"=[1]OUT_TransportEnergyCons!$A$3:$A$1000)*1,("Var_Fin"=[1]OUT_TransportEnergyCons!$B$3:$B$1000)*1,ISNUMBER(SEARCH("GSL",[1]OUT_TransportEnergyCons!$C$3:$C$1000))*1,[1]OUT_TransportEnergyCons!I$3:I$1000)</f>
        <v>1.3763158586907966</v>
      </c>
    </row>
    <row r="1163" spans="2:11" x14ac:dyDescent="0.35">
      <c r="B1163" s="5" t="str">
        <f t="shared" si="745"/>
        <v>SPS4</v>
      </c>
      <c r="C1163" s="5" t="str">
        <f t="shared" si="744"/>
        <v>CH</v>
      </c>
      <c r="D1163" t="s">
        <v>1266</v>
      </c>
      <c r="E1163" t="s">
        <v>8</v>
      </c>
      <c r="F1163" s="1" cm="1">
        <f t="array" ref="F1163">SUMPRODUCT(("T_C-HY-GSL-S3"=[1]OUT_TransportEnergyCons!$A$3:$A$1000)*1,("Var_Fin"=[1]OUT_TransportEnergyCons!$B$3:$B$1000)*1,ISNUMBER(SEARCH("GSL",[1]OUT_TransportEnergyCons!$C$3:$C$1000))*1,[1]OUT_TransportEnergyCons!D$3:D$1000)</f>
        <v>0.10262515842845267</v>
      </c>
      <c r="G1163" s="1" cm="1">
        <f t="array" ref="G1163">SUMPRODUCT(("T_C-HY-GSL-S3"=[1]OUT_TransportEnergyCons!$A$3:$A$1000)*1,("Var_Fin"=[1]OUT_TransportEnergyCons!$B$3:$B$1000)*1,ISNUMBER(SEARCH("GSL",[1]OUT_TransportEnergyCons!$C$3:$C$1000))*1,[1]OUT_TransportEnergyCons!E$3:E$1000)</f>
        <v>1.2183079253302143</v>
      </c>
      <c r="H1163" s="1" cm="1">
        <f t="array" ref="H1163">SUMPRODUCT(("T_C-HY-GSL-S3"=[1]OUT_TransportEnergyCons!$A$3:$A$1000)*1,("Var_Fin"=[1]OUT_TransportEnergyCons!$B$3:$B$1000)*1,ISNUMBER(SEARCH("GSL",[1]OUT_TransportEnergyCons!$C$3:$C$1000))*1,[1]OUT_TransportEnergyCons!F$3:F$1000)</f>
        <v>1.152240538189933</v>
      </c>
      <c r="I1163" s="1" cm="1">
        <f t="array" ref="I1163">SUMPRODUCT(("T_C-HY-GSL-S3"=[1]OUT_TransportEnergyCons!$A$3:$A$1000)*1,("Var_Fin"=[1]OUT_TransportEnergyCons!$B$3:$B$1000)*1,ISNUMBER(SEARCH("GSL",[1]OUT_TransportEnergyCons!$C$3:$C$1000))*1,[1]OUT_TransportEnergyCons!G$3:G$1000)</f>
        <v>0.92167595780957623</v>
      </c>
      <c r="J1163" s="1" cm="1">
        <f t="array" ref="J1163">SUMPRODUCT(("T_C-HY-GSL-S3"=[1]OUT_TransportEnergyCons!$A$3:$A$1000)*1,("Var_Fin"=[1]OUT_TransportEnergyCons!$B$3:$B$1000)*1,ISNUMBER(SEARCH("GSL",[1]OUT_TransportEnergyCons!$C$3:$C$1000))*1,[1]OUT_TransportEnergyCons!H$3:H$1000)</f>
        <v>1.0519300512532332E-3</v>
      </c>
      <c r="K1163" s="1" cm="1">
        <f t="array" ref="K1163">SUMPRODUCT(("T_C-HY-GSL-S3"=[1]OUT_TransportEnergyCons!$A$3:$A$1000)*1,("Var_Fin"=[1]OUT_TransportEnergyCons!$B$3:$B$1000)*1,ISNUMBER(SEARCH("GSL",[1]OUT_TransportEnergyCons!$C$3:$C$1000))*1,[1]OUT_TransportEnergyCons!I$3:I$1000)</f>
        <v>6.6488817763166294E-4</v>
      </c>
    </row>
    <row r="1164" spans="2:11" x14ac:dyDescent="0.35">
      <c r="B1164" s="5" t="str">
        <f t="shared" si="745"/>
        <v>SPS4</v>
      </c>
      <c r="C1164" s="5" t="str">
        <f t="shared" si="744"/>
        <v>CH</v>
      </c>
      <c r="D1164" t="s">
        <v>1267</v>
      </c>
      <c r="E1164" t="s">
        <v>8</v>
      </c>
      <c r="F1164" s="1" cm="1">
        <f t="array" ref="F1164">SUMPRODUCT(("T_C-HY-GSL-S4"=[1]OUT_TransportEnergyCons!$A$3:$A$1000)*1,("Var_Fin"=[1]OUT_TransportEnergyCons!$B$3:$B$1000)*1,ISNUMBER(SEARCH("GSL",[1]OUT_TransportEnergyCons!$C$3:$C$1000))*1,[1]OUT_TransportEnergyCons!D$3:D$1000)</f>
        <v>9.0701032242352278E-2</v>
      </c>
      <c r="G1164" s="1" cm="1">
        <f t="array" ref="G1164">SUMPRODUCT(("T_C-HY-GSL-S4"=[1]OUT_TransportEnergyCons!$A$3:$A$1000)*1,("Var_Fin"=[1]OUT_TransportEnergyCons!$B$3:$B$1000)*1,ISNUMBER(SEARCH("GSL",[1]OUT_TransportEnergyCons!$C$3:$C$1000))*1,[1]OUT_TransportEnergyCons!E$3:E$1000)</f>
        <v>0.13555145431835933</v>
      </c>
      <c r="H1164" s="1" cm="1">
        <f t="array" ref="H1164">SUMPRODUCT(("T_C-HY-GSL-S4"=[1]OUT_TransportEnergyCons!$A$3:$A$1000)*1,("Var_Fin"=[1]OUT_TransportEnergyCons!$B$3:$B$1000)*1,ISNUMBER(SEARCH("GSL",[1]OUT_TransportEnergyCons!$C$3:$C$1000))*1,[1]OUT_TransportEnergyCons!F$3:F$1000)</f>
        <v>0.12996266337432363</v>
      </c>
      <c r="I1164" s="1" cm="1">
        <f t="array" ref="I1164">SUMPRODUCT(("T_C-HY-GSL-S4"=[1]OUT_TransportEnergyCons!$A$3:$A$1000)*1,("Var_Fin"=[1]OUT_TransportEnergyCons!$B$3:$B$1000)*1,ISNUMBER(SEARCH("GSL",[1]OUT_TransportEnergyCons!$C$3:$C$1000))*1,[1]OUT_TransportEnergyCons!G$3:G$1000)</f>
        <v>0.10820848036172211</v>
      </c>
      <c r="J1164" s="1" cm="1">
        <f t="array" ref="J1164">SUMPRODUCT(("T_C-HY-GSL-S4"=[1]OUT_TransportEnergyCons!$A$3:$A$1000)*1,("Var_Fin"=[1]OUT_TransportEnergyCons!$B$3:$B$1000)*1,ISNUMBER(SEARCH("GSL",[1]OUT_TransportEnergyCons!$C$3:$C$1000))*1,[1]OUT_TransportEnergyCons!H$3:H$1000)</f>
        <v>1.4013762019566742E-3</v>
      </c>
      <c r="K1164" s="1" cm="1">
        <f t="array" ref="K1164">SUMPRODUCT(("T_C-HY-GSL-S4"=[1]OUT_TransportEnergyCons!$A$3:$A$1000)*1,("Var_Fin"=[1]OUT_TransportEnergyCons!$B$3:$B$1000)*1,ISNUMBER(SEARCH("GSL",[1]OUT_TransportEnergyCons!$C$3:$C$1000))*1,[1]OUT_TransportEnergyCons!I$3:I$1000)</f>
        <v>2.1914593948181359E-3</v>
      </c>
    </row>
    <row r="1165" spans="2:11" x14ac:dyDescent="0.35">
      <c r="B1165" s="5" t="str">
        <f t="shared" si="745"/>
        <v>SPS4</v>
      </c>
      <c r="C1165" s="5" t="str">
        <f t="shared" si="744"/>
        <v>CH</v>
      </c>
      <c r="D1165" t="s">
        <v>1268</v>
      </c>
      <c r="E1165" t="s">
        <v>8</v>
      </c>
      <c r="F1165" s="1" cm="1">
        <f t="array" ref="F1165">SUMPRODUCT(("T_C-ICEGSLEXT"=[1]OUT_TransportEnergyCons!$A$3:$A$1000)*1,("Var_Fin"=[1]OUT_TransportEnergyCons!$B$3:$B$1000)*1,ISNUMBER(SEARCH("GSL",[1]OUT_TransportEnergyCons!$C$3:$C$1000))*1,[1]OUT_TransportEnergyCons!D$3:D$1000)</f>
        <v>63.987648692130854</v>
      </c>
      <c r="G1165" s="1" cm="1">
        <f t="array" ref="G1165">SUMPRODUCT(("T_C-ICEGSLEXT"=[1]OUT_TransportEnergyCons!$A$3:$A$1000)*1,("Var_Fin"=[1]OUT_TransportEnergyCons!$B$3:$B$1000)*1,ISNUMBER(SEARCH("GSL",[1]OUT_TransportEnergyCons!$C$3:$C$1000))*1,[1]OUT_TransportEnergyCons!E$3:E$1000)</f>
        <v>52.276985831452741</v>
      </c>
      <c r="H1165" s="1" cm="1">
        <f t="array" ref="H1165">SUMPRODUCT(("T_C-ICEGSLEXT"=[1]OUT_TransportEnergyCons!$A$3:$A$1000)*1,("Var_Fin"=[1]OUT_TransportEnergyCons!$B$3:$B$1000)*1,ISNUMBER(SEARCH("GSL",[1]OUT_TransportEnergyCons!$C$3:$C$1000))*1,[1]OUT_TransportEnergyCons!F$3:F$1000)</f>
        <v>41.629180763363465</v>
      </c>
      <c r="I1165" s="1" cm="1">
        <f t="array" ref="I1165">SUMPRODUCT(("T_C-ICEGSLEXT"=[1]OUT_TransportEnergyCons!$A$3:$A$1000)*1,("Var_Fin"=[1]OUT_TransportEnergyCons!$B$3:$B$1000)*1,ISNUMBER(SEARCH("GSL",[1]OUT_TransportEnergyCons!$C$3:$C$1000))*1,[1]OUT_TransportEnergyCons!G$3:G$1000)</f>
        <v>11.84393331017656</v>
      </c>
      <c r="J1165" s="1" cm="1">
        <f t="array" ref="J1165">SUMPRODUCT(("T_C-ICEGSLEXT"=[1]OUT_TransportEnergyCons!$A$3:$A$1000)*1,("Var_Fin"=[1]OUT_TransportEnergyCons!$B$3:$B$1000)*1,ISNUMBER(SEARCH("GSL",[1]OUT_TransportEnergyCons!$C$3:$C$1000))*1,[1]OUT_TransportEnergyCons!H$3:H$1000)</f>
        <v>0</v>
      </c>
      <c r="K1165" s="1" cm="1">
        <f t="array" ref="K1165">SUMPRODUCT(("T_C-ICEGSLEXT"=[1]OUT_TransportEnergyCons!$A$3:$A$1000)*1,("Var_Fin"=[1]OUT_TransportEnergyCons!$B$3:$B$1000)*1,ISNUMBER(SEARCH("GSL",[1]OUT_TransportEnergyCons!$C$3:$C$1000))*1,[1]OUT_TransportEnergyCons!I$3:I$1000)</f>
        <v>0</v>
      </c>
    </row>
    <row r="1166" spans="2:11" x14ac:dyDescent="0.35">
      <c r="B1166" s="5" t="str">
        <f t="shared" si="745"/>
        <v>SPS4</v>
      </c>
      <c r="C1166" s="5" t="str">
        <f t="shared" si="744"/>
        <v>CH</v>
      </c>
      <c r="D1166" t="s">
        <v>1269</v>
      </c>
      <c r="E1166" t="s">
        <v>8</v>
      </c>
      <c r="F1166" s="1" cm="1">
        <f t="array" ref="F1166">SUMPRODUCT(("T_C-ICE-GSL-S1"=[1]OUT_TransportEnergyCons!$A$3:$A$1000)*1,("Var_Fin"=[1]OUT_TransportEnergyCons!$B$3:$B$1000)*1,ISNUMBER(SEARCH("GSL",[1]OUT_TransportEnergyCons!$C$3:$C$1000))*1,[1]OUT_TransportEnergyCons!D$3:D$1000)</f>
        <v>0.49672679779584444</v>
      </c>
      <c r="G1166" s="1" cm="1">
        <f t="array" ref="G1166">SUMPRODUCT(("T_C-ICE-GSL-S1"=[1]OUT_TransportEnergyCons!$A$3:$A$1000)*1,("Var_Fin"=[1]OUT_TransportEnergyCons!$B$3:$B$1000)*1,ISNUMBER(SEARCH("GSL",[1]OUT_TransportEnergyCons!$C$3:$C$1000))*1,[1]OUT_TransportEnergyCons!E$3:E$1000)</f>
        <v>0.55075034506988052</v>
      </c>
      <c r="H1166" s="1" cm="1">
        <f t="array" ref="H1166">SUMPRODUCT(("T_C-ICE-GSL-S1"=[1]OUT_TransportEnergyCons!$A$3:$A$1000)*1,("Var_Fin"=[1]OUT_TransportEnergyCons!$B$3:$B$1000)*1,ISNUMBER(SEARCH("GSL",[1]OUT_TransportEnergyCons!$C$3:$C$1000))*1,[1]OUT_TransportEnergyCons!F$3:F$1000)</f>
        <v>1.0406001807549627</v>
      </c>
      <c r="I1166" s="1" cm="1">
        <f t="array" ref="I1166">SUMPRODUCT(("T_C-ICE-GSL-S1"=[1]OUT_TransportEnergyCons!$A$3:$A$1000)*1,("Var_Fin"=[1]OUT_TransportEnergyCons!$B$3:$B$1000)*1,ISNUMBER(SEARCH("GSL",[1]OUT_TransportEnergyCons!$C$3:$C$1000))*1,[1]OUT_TransportEnergyCons!G$3:G$1000)</f>
        <v>0.86881502140270772</v>
      </c>
      <c r="J1166" s="1" cm="1">
        <f t="array" ref="J1166">SUMPRODUCT(("T_C-ICE-GSL-S1"=[1]OUT_TransportEnergyCons!$A$3:$A$1000)*1,("Var_Fin"=[1]OUT_TransportEnergyCons!$B$3:$B$1000)*1,ISNUMBER(SEARCH("GSL",[1]OUT_TransportEnergyCons!$C$3:$C$1000))*1,[1]OUT_TransportEnergyCons!H$3:H$1000)</f>
        <v>5.679941134787847E-2</v>
      </c>
      <c r="K1166" s="1" cm="1">
        <f t="array" ref="K1166">SUMPRODUCT(("T_C-ICE-GSL-S1"=[1]OUT_TransportEnergyCons!$A$3:$A$1000)*1,("Var_Fin"=[1]OUT_TransportEnergyCons!$B$3:$B$1000)*1,ISNUMBER(SEARCH("GSL",[1]OUT_TransportEnergyCons!$C$3:$C$1000))*1,[1]OUT_TransportEnergyCons!I$3:I$1000)</f>
        <v>3.7781972783788046E-4</v>
      </c>
    </row>
    <row r="1167" spans="2:11" x14ac:dyDescent="0.35">
      <c r="B1167" s="5" t="str">
        <f t="shared" si="745"/>
        <v>SPS4</v>
      </c>
      <c r="C1167" s="5" t="str">
        <f t="shared" si="744"/>
        <v>CH</v>
      </c>
      <c r="D1167" t="s">
        <v>1270</v>
      </c>
      <c r="E1167" t="s">
        <v>8</v>
      </c>
      <c r="F1167" s="1" cm="1">
        <f t="array" ref="F1167">SUMPRODUCT(("T_C-ICE-GSL-S2"=[1]OUT_TransportEnergyCons!$A$3:$A$1000)*1,("Var_Fin"=[1]OUT_TransportEnergyCons!$B$3:$B$1000)*1,ISNUMBER(SEARCH("GSL",[1]OUT_TransportEnergyCons!$C$3:$C$1000))*1,[1]OUT_TransportEnergyCons!D$3:D$1000)</f>
        <v>3.7619616318163973</v>
      </c>
      <c r="G1167" s="1" cm="1">
        <f t="array" ref="G1167">SUMPRODUCT(("T_C-ICE-GSL-S2"=[1]OUT_TransportEnergyCons!$A$3:$A$1000)*1,("Var_Fin"=[1]OUT_TransportEnergyCons!$B$3:$B$1000)*1,ISNUMBER(SEARCH("GSL",[1]OUT_TransportEnergyCons!$C$3:$C$1000))*1,[1]OUT_TransportEnergyCons!E$3:E$1000)</f>
        <v>5.3070778497345747</v>
      </c>
      <c r="H1167" s="1" cm="1">
        <f t="array" ref="H1167">SUMPRODUCT(("T_C-ICE-GSL-S2"=[1]OUT_TransportEnergyCons!$A$3:$A$1000)*1,("Var_Fin"=[1]OUT_TransportEnergyCons!$B$3:$B$1000)*1,ISNUMBER(SEARCH("GSL",[1]OUT_TransportEnergyCons!$C$3:$C$1000))*1,[1]OUT_TransportEnergyCons!F$3:F$1000)</f>
        <v>5.2802622996027546</v>
      </c>
      <c r="I1167" s="1" cm="1">
        <f t="array" ref="I1167">SUMPRODUCT(("T_C-ICE-GSL-S2"=[1]OUT_TransportEnergyCons!$A$3:$A$1000)*1,("Var_Fin"=[1]OUT_TransportEnergyCons!$B$3:$B$1000)*1,ISNUMBER(SEARCH("GSL",[1]OUT_TransportEnergyCons!$C$3:$C$1000))*1,[1]OUT_TransportEnergyCons!G$3:G$1000)</f>
        <v>4.145982779749759</v>
      </c>
      <c r="J1167" s="1" cm="1">
        <f t="array" ref="J1167">SUMPRODUCT(("T_C-ICE-GSL-S2"=[1]OUT_TransportEnergyCons!$A$3:$A$1000)*1,("Var_Fin"=[1]OUT_TransportEnergyCons!$B$3:$B$1000)*1,ISNUMBER(SEARCH("GSL",[1]OUT_TransportEnergyCons!$C$3:$C$1000))*1,[1]OUT_TransportEnergyCons!H$3:H$1000)</f>
        <v>6.4694938778236096E-3</v>
      </c>
      <c r="K1167" s="1" cm="1">
        <f t="array" ref="K1167">SUMPRODUCT(("T_C-ICE-GSL-S2"=[1]OUT_TransportEnergyCons!$A$3:$A$1000)*1,("Var_Fin"=[1]OUT_TransportEnergyCons!$B$3:$B$1000)*1,ISNUMBER(SEARCH("GSL",[1]OUT_TransportEnergyCons!$C$3:$C$1000))*1,[1]OUT_TransportEnergyCons!I$3:I$1000)</f>
        <v>9.5911277021643038E-4</v>
      </c>
    </row>
    <row r="1168" spans="2:11" x14ac:dyDescent="0.35">
      <c r="B1168" s="5" t="str">
        <f t="shared" si="745"/>
        <v>SPS4</v>
      </c>
      <c r="C1168" s="5" t="str">
        <f t="shared" si="744"/>
        <v>CH</v>
      </c>
      <c r="D1168" t="s">
        <v>1271</v>
      </c>
      <c r="E1168" t="s">
        <v>8</v>
      </c>
      <c r="F1168" s="1" cm="1">
        <f t="array" ref="F1168">SUMPRODUCT(("T_C-ICE-GSL-S3"=[1]OUT_TransportEnergyCons!$A$3:$A$1000)*1,("Var_Fin"=[1]OUT_TransportEnergyCons!$B$3:$B$1000)*1,ISNUMBER(SEARCH("GSL",[1]OUT_TransportEnergyCons!$C$3:$C$1000))*1,[1]OUT_TransportEnergyCons!D$3:D$1000)</f>
        <v>3.7735430928892959</v>
      </c>
      <c r="G1168" s="1" cm="1">
        <f t="array" ref="G1168">SUMPRODUCT(("T_C-ICE-GSL-S3"=[1]OUT_TransportEnergyCons!$A$3:$A$1000)*1,("Var_Fin"=[1]OUT_TransportEnergyCons!$B$3:$B$1000)*1,ISNUMBER(SEARCH("GSL",[1]OUT_TransportEnergyCons!$C$3:$C$1000))*1,[1]OUT_TransportEnergyCons!E$3:E$1000)</f>
        <v>5.7407506992495625</v>
      </c>
      <c r="H1168" s="1" cm="1">
        <f t="array" ref="H1168">SUMPRODUCT(("T_C-ICE-GSL-S3"=[1]OUT_TransportEnergyCons!$A$3:$A$1000)*1,("Var_Fin"=[1]OUT_TransportEnergyCons!$B$3:$B$1000)*1,ISNUMBER(SEARCH("GSL",[1]OUT_TransportEnergyCons!$C$3:$C$1000))*1,[1]OUT_TransportEnergyCons!F$3:F$1000)</f>
        <v>6.8993267295975107</v>
      </c>
      <c r="I1168" s="1" cm="1">
        <f t="array" ref="I1168">SUMPRODUCT(("T_C-ICE-GSL-S3"=[1]OUT_TransportEnergyCons!$A$3:$A$1000)*1,("Var_Fin"=[1]OUT_TransportEnergyCons!$B$3:$B$1000)*1,ISNUMBER(SEARCH("GSL",[1]OUT_TransportEnergyCons!$C$3:$C$1000))*1,[1]OUT_TransportEnergyCons!G$3:G$1000)</f>
        <v>5.6520940894493741</v>
      </c>
      <c r="J1168" s="1" cm="1">
        <f t="array" ref="J1168">SUMPRODUCT(("T_C-ICE-GSL-S3"=[1]OUT_TransportEnergyCons!$A$3:$A$1000)*1,("Var_Fin"=[1]OUT_TransportEnergyCons!$B$3:$B$1000)*1,ISNUMBER(SEARCH("GSL",[1]OUT_TransportEnergyCons!$C$3:$C$1000))*1,[1]OUT_TransportEnergyCons!H$3:H$1000)</f>
        <v>0.11029715046208725</v>
      </c>
      <c r="K1168" s="1" cm="1">
        <f t="array" ref="K1168">SUMPRODUCT(("T_C-ICE-GSL-S3"=[1]OUT_TransportEnergyCons!$A$3:$A$1000)*1,("Var_Fin"=[1]OUT_TransportEnergyCons!$B$3:$B$1000)*1,ISNUMBER(SEARCH("GSL",[1]OUT_TransportEnergyCons!$C$3:$C$1000))*1,[1]OUT_TransportEnergyCons!I$3:I$1000)</f>
        <v>1.6837399208154383E-3</v>
      </c>
    </row>
    <row r="1169" spans="2:18" x14ac:dyDescent="0.35">
      <c r="B1169" s="5" t="str">
        <f t="shared" si="745"/>
        <v>SPS4</v>
      </c>
      <c r="C1169" s="5" t="str">
        <f t="shared" si="744"/>
        <v>CH</v>
      </c>
      <c r="D1169" t="s">
        <v>1272</v>
      </c>
      <c r="E1169" t="s">
        <v>8</v>
      </c>
      <c r="F1169" s="1" cm="1">
        <f t="array" ref="F1169">SUMPRODUCT(("T_C-ICE-GSL-S4"=[1]OUT_TransportEnergyCons!$A$3:$A$1000)*1,("Var_Fin"=[1]OUT_TransportEnergyCons!$B$3:$B$1000)*1,ISNUMBER(SEARCH("GSL",[1]OUT_TransportEnergyCons!$C$3:$C$1000))*1,[1]OUT_TransportEnergyCons!D$3:D$1000)</f>
        <v>3.8994395945021672</v>
      </c>
      <c r="G1169" s="1" cm="1">
        <f t="array" ref="G1169">SUMPRODUCT(("T_C-ICE-GSL-S4"=[1]OUT_TransportEnergyCons!$A$3:$A$1000)*1,("Var_Fin"=[1]OUT_TransportEnergyCons!$B$3:$B$1000)*1,ISNUMBER(SEARCH("GSL",[1]OUT_TransportEnergyCons!$C$3:$C$1000))*1,[1]OUT_TransportEnergyCons!E$3:E$1000)</f>
        <v>5.2547834474612394</v>
      </c>
      <c r="H1169" s="1" cm="1">
        <f t="array" ref="H1169">SUMPRODUCT(("T_C-ICE-GSL-S4"=[1]OUT_TransportEnergyCons!$A$3:$A$1000)*1,("Var_Fin"=[1]OUT_TransportEnergyCons!$B$3:$B$1000)*1,ISNUMBER(SEARCH("GSL",[1]OUT_TransportEnergyCons!$C$3:$C$1000))*1,[1]OUT_TransportEnergyCons!F$3:F$1000)</f>
        <v>11.484522136250279</v>
      </c>
      <c r="I1169" s="1" cm="1">
        <f t="array" ref="I1169">SUMPRODUCT(("T_C-ICE-GSL-S4"=[1]OUT_TransportEnergyCons!$A$3:$A$1000)*1,("Var_Fin"=[1]OUT_TransportEnergyCons!$B$3:$B$1000)*1,ISNUMBER(SEARCH("GSL",[1]OUT_TransportEnergyCons!$C$3:$C$1000))*1,[1]OUT_TransportEnergyCons!G$3:G$1000)</f>
        <v>24.556506422698188</v>
      </c>
      <c r="J1169" s="1" cm="1">
        <f t="array" ref="J1169">SUMPRODUCT(("T_C-ICE-GSL-S4"=[1]OUT_TransportEnergyCons!$A$3:$A$1000)*1,("Var_Fin"=[1]OUT_TransportEnergyCons!$B$3:$B$1000)*1,ISNUMBER(SEARCH("GSL",[1]OUT_TransportEnergyCons!$C$3:$C$1000))*1,[1]OUT_TransportEnergyCons!H$3:H$1000)</f>
        <v>31.079549873892624</v>
      </c>
      <c r="K1169" s="1" cm="1">
        <f t="array" ref="K1169">SUMPRODUCT(("T_C-ICE-GSL-S4"=[1]OUT_TransportEnergyCons!$A$3:$A$1000)*1,("Var_Fin"=[1]OUT_TransportEnergyCons!$B$3:$B$1000)*1,ISNUMBER(SEARCH("GSL",[1]OUT_TransportEnergyCons!$C$3:$C$1000))*1,[1]OUT_TransportEnergyCons!I$3:I$1000)</f>
        <v>21.156939380030323</v>
      </c>
    </row>
    <row r="1170" spans="2:18" x14ac:dyDescent="0.35">
      <c r="B1170" s="5" t="str">
        <f t="shared" si="745"/>
        <v>SPS4</v>
      </c>
      <c r="C1170" s="5" t="str">
        <f t="shared" si="744"/>
        <v>CH</v>
      </c>
      <c r="D1170" t="s">
        <v>1273</v>
      </c>
      <c r="E1170" t="s">
        <v>8</v>
      </c>
      <c r="F1170" s="1" cm="1">
        <f t="array" ref="F1170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0" s="1" cm="1">
        <f t="array" ref="G1170">SUMPRODUCT(("T_C-MHY-GSL-S1"=[1]OUT_TransportEnergyCons!$A$3:$A$1000)*1,("Var_Fin"=[1]OUT_TransportEnergyCons!$B$3:$B$1000)*1,ISNUMBER(SEARCH("GSL",[1]OUT_TransportEnergyCons!$C$3:$C$1000))*1,[1]OUT_TransportEnergyCons!E$3:E$1000)</f>
        <v>4.6869472147047139E-4</v>
      </c>
      <c r="H1170" s="1" cm="1">
        <f t="array" ref="H1170">SUMPRODUCT(("T_C-MHY-GSL-S1"=[1]OUT_TransportEnergyCons!$A$3:$A$1000)*1,("Var_Fin"=[1]OUT_TransportEnergyCons!$B$3:$B$1000)*1,ISNUMBER(SEARCH("GSL",[1]OUT_TransportEnergyCons!$C$3:$C$1000))*1,[1]OUT_TransportEnergyCons!F$3:F$1000)</f>
        <v>0.21384952005868824</v>
      </c>
      <c r="I1170" s="1" cm="1">
        <f t="array" ref="I1170">SUMPRODUCT(("T_C-MHY-GSL-S1"=[1]OUT_TransportEnergyCons!$A$3:$A$1000)*1,("Var_Fin"=[1]OUT_TransportEnergyCons!$B$3:$B$1000)*1,ISNUMBER(SEARCH("GSL",[1]OUT_TransportEnergyCons!$C$3:$C$1000))*1,[1]OUT_TransportEnergyCons!G$3:G$1000)</f>
        <v>0.19011274725179728</v>
      </c>
      <c r="J1170" s="1" cm="1">
        <f t="array" ref="J1170">SUMPRODUCT(("T_C-MHY-GSL-S1"=[1]OUT_TransportEnergyCons!$A$3:$A$1000)*1,("Var_Fin"=[1]OUT_TransportEnergyCons!$B$3:$B$1000)*1,ISNUMBER(SEARCH("GSL",[1]OUT_TransportEnergyCons!$C$3:$C$1000))*1,[1]OUT_TransportEnergyCons!H$3:H$1000)</f>
        <v>2.0038542568218947E-2</v>
      </c>
      <c r="K1170" s="1" cm="1">
        <f t="array" ref="K1170">SUMPRODUCT(("T_C-MHY-GSL-S1"=[1]OUT_TransportEnergyCons!$A$3:$A$1000)*1,("Var_Fin"=[1]OUT_TransportEnergyCons!$B$3:$B$1000)*1,ISNUMBER(SEARCH("GSL",[1]OUT_TransportEnergyCons!$C$3:$C$1000))*1,[1]OUT_TransportEnergyCons!I$3:I$1000)</f>
        <v>4.6873081697496245E-4</v>
      </c>
    </row>
    <row r="1171" spans="2:18" x14ac:dyDescent="0.35">
      <c r="B1171" s="5" t="str">
        <f t="shared" si="745"/>
        <v>SPS4</v>
      </c>
      <c r="C1171" s="5" t="str">
        <f t="shared" si="744"/>
        <v>CH</v>
      </c>
      <c r="D1171" t="s">
        <v>1274</v>
      </c>
      <c r="E1171" t="s">
        <v>8</v>
      </c>
      <c r="F1171" s="1" cm="1">
        <f t="array" ref="F1171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1" s="1" cm="1">
        <f t="array" ref="G1171">SUMPRODUCT(("T_C-MHY-GSL-S2"=[1]OUT_TransportEnergyCons!$A$3:$A$1000)*1,("Var_Fin"=[1]OUT_TransportEnergyCons!$B$3:$B$1000)*1,ISNUMBER(SEARCH("GSL",[1]OUT_TransportEnergyCons!$C$3:$C$1000))*1,[1]OUT_TransportEnergyCons!E$3:E$1000)</f>
        <v>3.3344240574391219E-4</v>
      </c>
      <c r="H1171" s="1" cm="1">
        <f t="array" ref="H1171">SUMPRODUCT(("T_C-MHY-GSL-S2"=[1]OUT_TransportEnergyCons!$A$3:$A$1000)*1,("Var_Fin"=[1]OUT_TransportEnergyCons!$B$3:$B$1000)*1,ISNUMBER(SEARCH("GSL",[1]OUT_TransportEnergyCons!$C$3:$C$1000))*1,[1]OUT_TransportEnergyCons!F$3:F$1000)</f>
        <v>2.107394479372084E-3</v>
      </c>
      <c r="I1171" s="1" cm="1">
        <f t="array" ref="I1171">SUMPRODUCT(("T_C-MHY-GSL-S2"=[1]OUT_TransportEnergyCons!$A$3:$A$1000)*1,("Var_Fin"=[1]OUT_TransportEnergyCons!$B$3:$B$1000)*1,ISNUMBER(SEARCH("GSL",[1]OUT_TransportEnergyCons!$C$3:$C$1000))*1,[1]OUT_TransportEnergyCons!G$3:G$1000)</f>
        <v>5.0867296075816585E-3</v>
      </c>
      <c r="J1171" s="1" cm="1">
        <f t="array" ref="J1171">SUMPRODUCT(("T_C-MHY-GSL-S2"=[1]OUT_TransportEnergyCons!$A$3:$A$1000)*1,("Var_Fin"=[1]OUT_TransportEnergyCons!$B$3:$B$1000)*1,ISNUMBER(SEARCH("GSL",[1]OUT_TransportEnergyCons!$C$3:$C$1000))*1,[1]OUT_TransportEnergyCons!H$3:H$1000)</f>
        <v>3.1840674153903593E-3</v>
      </c>
      <c r="K1171" s="1" cm="1">
        <f t="array" ref="K1171">SUMPRODUCT(("T_C-MHY-GSL-S2"=[1]OUT_TransportEnergyCons!$A$3:$A$1000)*1,("Var_Fin"=[1]OUT_TransportEnergyCons!$B$3:$B$1000)*1,ISNUMBER(SEARCH("GSL",[1]OUT_TransportEnergyCons!$C$3:$C$1000))*1,[1]OUT_TransportEnergyCons!I$3:I$1000)</f>
        <v>7.5418543335809408E-4</v>
      </c>
    </row>
    <row r="1172" spans="2:18" x14ac:dyDescent="0.35">
      <c r="B1172" s="5" t="str">
        <f t="shared" si="745"/>
        <v>SPS4</v>
      </c>
      <c r="C1172" s="5" t="str">
        <f t="shared" si="744"/>
        <v>CH</v>
      </c>
      <c r="D1172" t="s">
        <v>1275</v>
      </c>
      <c r="E1172" t="s">
        <v>8</v>
      </c>
      <c r="F1172" s="1" cm="1">
        <f t="array" ref="F1172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SUMPRODUCT(("T_C-MHY-GSL-S3"=[1]OUT_TransportEnergyCons!$A$3:$A$1000)*1,("Var_Fin"=[1]OUT_TransportEnergyCons!$B$3:$B$1000)*1,ISNUMBER(SEARCH("GSL",[1]OUT_TransportEnergyCons!$C$3:$C$1000))*1,[1]OUT_TransportEnergyCons!E$3:E$1000)</f>
        <v>4.9524271731940224E-4</v>
      </c>
      <c r="H1172" s="1" cm="1">
        <f t="array" ref="H1172">SUMPRODUCT(("T_C-MHY-GSL-S3"=[1]OUT_TransportEnergyCons!$A$3:$A$1000)*1,("Var_Fin"=[1]OUT_TransportEnergyCons!$B$3:$B$1000)*1,ISNUMBER(SEARCH("GSL",[1]OUT_TransportEnergyCons!$C$3:$C$1000))*1,[1]OUT_TransportEnergyCons!F$3:F$1000)</f>
        <v>2.0526449693999689E-3</v>
      </c>
      <c r="I1172" s="1" cm="1">
        <f t="array" ref="I1172">SUMPRODUCT(("T_C-MHY-GSL-S3"=[1]OUT_TransportEnergyCons!$A$3:$A$1000)*1,("Var_Fin"=[1]OUT_TransportEnergyCons!$B$3:$B$1000)*1,ISNUMBER(SEARCH("GSL",[1]OUT_TransportEnergyCons!$C$3:$C$1000))*1,[1]OUT_TransportEnergyCons!G$3:G$1000)</f>
        <v>3.8910823736597344E-3</v>
      </c>
      <c r="J1172" s="1" cm="1">
        <f t="array" ref="J1172">SUMPRODUCT(("T_C-MHY-GSL-S3"=[1]OUT_TransportEnergyCons!$A$3:$A$1000)*1,("Var_Fin"=[1]OUT_TransportEnergyCons!$B$3:$B$1000)*1,ISNUMBER(SEARCH("GSL",[1]OUT_TransportEnergyCons!$C$3:$C$1000))*1,[1]OUT_TransportEnergyCons!H$3:H$1000)</f>
        <v>2.8000765939440943E-3</v>
      </c>
      <c r="K1172" s="1" cm="1">
        <f t="array" ref="K1172">SUMPRODUCT(("T_C-MHY-GSL-S3"=[1]OUT_TransportEnergyCons!$A$3:$A$1000)*1,("Var_Fin"=[1]OUT_TransportEnergyCons!$B$3:$B$1000)*1,ISNUMBER(SEARCH("GSL",[1]OUT_TransportEnergyCons!$C$3:$C$1000))*1,[1]OUT_TransportEnergyCons!I$3:I$1000)</f>
        <v>9.4651681133372959E-4</v>
      </c>
    </row>
    <row r="1173" spans="2:18" x14ac:dyDescent="0.35">
      <c r="B1173" s="5" t="str">
        <f t="shared" si="745"/>
        <v>SPS4</v>
      </c>
      <c r="C1173" s="5" t="str">
        <f t="shared" si="744"/>
        <v>CH</v>
      </c>
      <c r="D1173" t="s">
        <v>1276</v>
      </c>
      <c r="E1173" t="s">
        <v>8</v>
      </c>
      <c r="F1173" s="1" cm="1">
        <f t="array" ref="F1173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SUMPRODUCT(("T_C-MHY-GSL-S4"=[1]OUT_TransportEnergyCons!$A$3:$A$1000)*1,("Var_Fin"=[1]OUT_TransportEnergyCons!$B$3:$B$1000)*1,ISNUMBER(SEARCH("GSL",[1]OUT_TransportEnergyCons!$C$3:$C$1000))*1,[1]OUT_TransportEnergyCons!E$3:E$1000)</f>
        <v>6.5654218888224251E-4</v>
      </c>
      <c r="H1173" s="1" cm="1">
        <f t="array" ref="H1173">SUMPRODUCT(("T_C-MHY-GSL-S4"=[1]OUT_TransportEnergyCons!$A$3:$A$1000)*1,("Var_Fin"=[1]OUT_TransportEnergyCons!$B$3:$B$1000)*1,ISNUMBER(SEARCH("GSL",[1]OUT_TransportEnergyCons!$C$3:$C$1000))*1,[1]OUT_TransportEnergyCons!F$3:F$1000)</f>
        <v>3.710317299691054E-3</v>
      </c>
      <c r="I1173" s="1" cm="1">
        <f t="array" ref="I1173">SUMPRODUCT(("T_C-MHY-GSL-S4"=[1]OUT_TransportEnergyCons!$A$3:$A$1000)*1,("Var_Fin"=[1]OUT_TransportEnergyCons!$B$3:$B$1000)*1,ISNUMBER(SEARCH("GSL",[1]OUT_TransportEnergyCons!$C$3:$C$1000))*1,[1]OUT_TransportEnergyCons!G$3:G$1000)</f>
        <v>3.1581793117866406</v>
      </c>
      <c r="J1173" s="1" cm="1">
        <f t="array" ref="J1173">SUMPRODUCT(("T_C-MHY-GSL-S4"=[1]OUT_TransportEnergyCons!$A$3:$A$1000)*1,("Var_Fin"=[1]OUT_TransportEnergyCons!$B$3:$B$1000)*1,ISNUMBER(SEARCH("GSL",[1]OUT_TransportEnergyCons!$C$3:$C$1000))*1,[1]OUT_TransportEnergyCons!H$3:H$1000)</f>
        <v>2.9839084768498694</v>
      </c>
      <c r="K1173" s="1" cm="1">
        <f t="array" ref="K1173">SUMPRODUCT(("T_C-MHY-GSL-S4"=[1]OUT_TransportEnergyCons!$A$3:$A$1000)*1,("Var_Fin"=[1]OUT_TransportEnergyCons!$B$3:$B$1000)*1,ISNUMBER(SEARCH("GSL",[1]OUT_TransportEnergyCons!$C$3:$C$1000))*1,[1]OUT_TransportEnergyCons!I$3:I$1000)</f>
        <v>2.7306458975671419</v>
      </c>
    </row>
    <row r="1174" spans="2:18" x14ac:dyDescent="0.35">
      <c r="B1174" s="5" t="str">
        <f t="shared" si="745"/>
        <v>SPS4</v>
      </c>
      <c r="C1174" s="5" t="str">
        <f t="shared" si="744"/>
        <v>CH</v>
      </c>
      <c r="D1174" t="s">
        <v>1277</v>
      </c>
      <c r="E1174" t="s">
        <v>8</v>
      </c>
      <c r="F1174" s="1" cm="1">
        <f t="array" ref="F1174">SUMPRODUCT(("T-Plg-GSL-mix_S1"=[1]OUT_TransportEnergyCons!$A$3:$A$1000)*1,("Var_Fin"=[1]OUT_TransportEnergyCons!$B$3:$B$1000)*1,ISNUMBER(SEARCH("GSL",[1]OUT_TransportEnergyCons!$C$3:$C$1000))*1,[1]OUT_TransportEnergyCons!D$3:D$1000)</f>
        <v>2.999646975404391E-4</v>
      </c>
      <c r="G1174" s="1" cm="1">
        <f t="array" ref="G1174">SUMPRODUCT(("T-Plg-GSL-mix_S1"=[1]OUT_TransportEnergyCons!$A$3:$A$1000)*1,("Var_Fin"=[1]OUT_TransportEnergyCons!$B$3:$B$1000)*1,ISNUMBER(SEARCH("GSL",[1]OUT_TransportEnergyCons!$C$3:$C$1000))*1,[1]OUT_TransportEnergyCons!E$3:E$1000)</f>
        <v>8.7545914675511217E-4</v>
      </c>
      <c r="H1174" s="1" cm="1">
        <f t="array" ref="H1174">SUMPRODUCT(("T-Plg-GSL-mix_S1"=[1]OUT_TransportEnergyCons!$A$3:$A$1000)*1,("Var_Fin"=[1]OUT_TransportEnergyCons!$B$3:$B$1000)*1,ISNUMBER(SEARCH("GSL",[1]OUT_TransportEnergyCons!$C$3:$C$1000))*1,[1]OUT_TransportEnergyCons!F$3:F$1000)</f>
        <v>1.1221825302784715E-3</v>
      </c>
      <c r="I1174" s="1" cm="1">
        <f t="array" ref="I1174">SUMPRODUCT(("T-Plg-GSL-mix_S1"=[1]OUT_TransportEnergyCons!$A$3:$A$1000)*1,("Var_Fin"=[1]OUT_TransportEnergyCons!$B$3:$B$1000)*1,ISNUMBER(SEARCH("GSL",[1]OUT_TransportEnergyCons!$C$3:$C$1000))*1,[1]OUT_TransportEnergyCons!G$3:G$1000)</f>
        <v>1.0523841989584671E-3</v>
      </c>
      <c r="J1174" s="1" cm="1">
        <f t="array" ref="J1174">SUMPRODUCT(("T-Plg-GSL-mix_S1"=[1]OUT_TransportEnergyCons!$A$3:$A$1000)*1,("Var_Fin"=[1]OUT_TransportEnergyCons!$B$3:$B$1000)*1,ISNUMBER(SEARCH("GSL",[1]OUT_TransportEnergyCons!$C$3:$C$1000))*1,[1]OUT_TransportEnergyCons!H$3:H$1000)</f>
        <v>7.5222682926446237E-4</v>
      </c>
      <c r="K1174" s="1" cm="1">
        <f t="array" ref="K1174">SUMPRODUCT(("T-Plg-GSL-mix_S1"=[1]OUT_TransportEnergyCons!$A$3:$A$1000)*1,("Var_Fin"=[1]OUT_TransportEnergyCons!$B$3:$B$1000)*1,ISNUMBER(SEARCH("GSL",[1]OUT_TransportEnergyCons!$C$3:$C$1000))*1,[1]OUT_TransportEnergyCons!I$3:I$1000)</f>
        <v>3.8801400738090307E-4</v>
      </c>
    </row>
    <row r="1175" spans="2:18" x14ac:dyDescent="0.35">
      <c r="B1175" s="5" t="str">
        <f t="shared" si="745"/>
        <v>SPS4</v>
      </c>
      <c r="C1175" s="5" t="str">
        <f t="shared" si="744"/>
        <v>CH</v>
      </c>
      <c r="D1175" t="s">
        <v>1278</v>
      </c>
      <c r="E1175" t="s">
        <v>8</v>
      </c>
      <c r="F1175" s="1" cm="1">
        <f t="array" ref="F1175">SUMPRODUCT(("T-Plg-GSL-mix_S2"=[1]OUT_TransportEnergyCons!$A$3:$A$1000)*1,("Var_Fin"=[1]OUT_TransportEnergyCons!$B$3:$B$1000)*1,ISNUMBER(SEARCH("GSL",[1]OUT_TransportEnergyCons!$C$3:$C$1000))*1,[1]OUT_TransportEnergyCons!D$3:D$1000)</f>
        <v>8.390118194571676E-2</v>
      </c>
      <c r="G1175" s="1" cm="1">
        <f t="array" ref="G1175">SUMPRODUCT(("T-Plg-GSL-mix_S2"=[1]OUT_TransportEnergyCons!$A$3:$A$1000)*1,("Var_Fin"=[1]OUT_TransportEnergyCons!$B$3:$B$1000)*1,ISNUMBER(SEARCH("GSL",[1]OUT_TransportEnergyCons!$C$3:$C$1000))*1,[1]OUT_TransportEnergyCons!E$3:E$1000)</f>
        <v>0.16671463334810405</v>
      </c>
      <c r="H1175" s="1" cm="1">
        <f t="array" ref="H1175">SUMPRODUCT(("T-Plg-GSL-mix_S2"=[1]OUT_TransportEnergyCons!$A$3:$A$1000)*1,("Var_Fin"=[1]OUT_TransportEnergyCons!$B$3:$B$1000)*1,ISNUMBER(SEARCH("GSL",[1]OUT_TransportEnergyCons!$C$3:$C$1000))*1,[1]OUT_TransportEnergyCons!F$3:F$1000)</f>
        <v>0.15410148701488358</v>
      </c>
      <c r="I1175" s="1" cm="1">
        <f t="array" ref="I1175">SUMPRODUCT(("T-Plg-GSL-mix_S2"=[1]OUT_TransportEnergyCons!$A$3:$A$1000)*1,("Var_Fin"=[1]OUT_TransportEnergyCons!$B$3:$B$1000)*1,ISNUMBER(SEARCH("GSL",[1]OUT_TransportEnergyCons!$C$3:$C$1000))*1,[1]OUT_TransportEnergyCons!G$3:G$1000)</f>
        <v>0.12910205652887252</v>
      </c>
      <c r="J1175" s="1" cm="1">
        <f t="array" ref="J1175">SUMPRODUCT(("T-Plg-GSL-mix_S2"=[1]OUT_TransportEnergyCons!$A$3:$A$1000)*1,("Var_Fin"=[1]OUT_TransportEnergyCons!$B$3:$B$1000)*1,ISNUMBER(SEARCH("GSL",[1]OUT_TransportEnergyCons!$C$3:$C$1000))*1,[1]OUT_TransportEnergyCons!H$3:H$1000)</f>
        <v>3.0280619048207716E-3</v>
      </c>
      <c r="K1175" s="1" cm="1">
        <f t="array" ref="K1175">SUMPRODUCT(("T-Plg-GSL-mix_S2"=[1]OUT_TransportEnergyCons!$A$3:$A$1000)*1,("Var_Fin"=[1]OUT_TransportEnergyCons!$B$3:$B$1000)*1,ISNUMBER(SEARCH("GSL",[1]OUT_TransportEnergyCons!$C$3:$C$1000))*1,[1]OUT_TransportEnergyCons!I$3:I$1000)</f>
        <v>1.4418266563261172E-3</v>
      </c>
    </row>
    <row r="1176" spans="2:18" x14ac:dyDescent="0.35">
      <c r="B1176" s="5" t="str">
        <f t="shared" si="745"/>
        <v>SPS4</v>
      </c>
      <c r="C1176" s="5" t="str">
        <f t="shared" si="744"/>
        <v>CH</v>
      </c>
      <c r="D1176" t="s">
        <v>1279</v>
      </c>
      <c r="E1176" t="s">
        <v>8</v>
      </c>
      <c r="F1176" s="1" cm="1">
        <f t="array" ref="F1176">SUMPRODUCT(("T-Plg-GSL-mix_S3"=[1]OUT_TransportEnergyCons!$A$3:$A$1000)*1,("Var_Fin"=[1]OUT_TransportEnergyCons!$B$3:$B$1000)*1,ISNUMBER(SEARCH("GSL",[1]OUT_TransportEnergyCons!$C$3:$C$1000))*1,[1]OUT_TransportEnergyCons!D$3:D$1000)</f>
        <v>8.9571746239144198E-2</v>
      </c>
      <c r="G1176" s="1" cm="1">
        <f t="array" ref="G1176">SUMPRODUCT(("T-Plg-GSL-mix_S3"=[1]OUT_TransportEnergyCons!$A$3:$A$1000)*1,("Var_Fin"=[1]OUT_TransportEnergyCons!$B$3:$B$1000)*1,ISNUMBER(SEARCH("GSL",[1]OUT_TransportEnergyCons!$C$3:$C$1000))*1,[1]OUT_TransportEnergyCons!E$3:E$1000)</f>
        <v>1.0306968957532829</v>
      </c>
      <c r="H1176" s="1" cm="1">
        <f t="array" ref="H1176">SUMPRODUCT(("T-Plg-GSL-mix_S3"=[1]OUT_TransportEnergyCons!$A$3:$A$1000)*1,("Var_Fin"=[1]OUT_TransportEnergyCons!$B$3:$B$1000)*1,ISNUMBER(SEARCH("GSL",[1]OUT_TransportEnergyCons!$C$3:$C$1000))*1,[1]OUT_TransportEnergyCons!F$3:F$1000)</f>
        <v>1.7655475260514222</v>
      </c>
      <c r="I1176" s="1" cm="1">
        <f t="array" ref="I1176">SUMPRODUCT(("T-Plg-GSL-mix_S3"=[1]OUT_TransportEnergyCons!$A$3:$A$1000)*1,("Var_Fin"=[1]OUT_TransportEnergyCons!$B$3:$B$1000)*1,ISNUMBER(SEARCH("GSL",[1]OUT_TransportEnergyCons!$C$3:$C$1000))*1,[1]OUT_TransportEnergyCons!G$3:G$1000)</f>
        <v>1.6844441874787055</v>
      </c>
      <c r="J1176" s="1" cm="1">
        <f t="array" ref="J1176">SUMPRODUCT(("T-Plg-GSL-mix_S3"=[1]OUT_TransportEnergyCons!$A$3:$A$1000)*1,("Var_Fin"=[1]OUT_TransportEnergyCons!$B$3:$B$1000)*1,ISNUMBER(SEARCH("GSL",[1]OUT_TransportEnergyCons!$C$3:$C$1000))*1,[1]OUT_TransportEnergyCons!H$3:H$1000)</f>
        <v>0.94038227674308694</v>
      </c>
      <c r="K1176" s="1" cm="1">
        <f t="array" ref="K1176">SUMPRODUCT(("T-Plg-GSL-mix_S3"=[1]OUT_TransportEnergyCons!$A$3:$A$1000)*1,("Var_Fin"=[1]OUT_TransportEnergyCons!$B$3:$B$1000)*1,ISNUMBER(SEARCH("GSL",[1]OUT_TransportEnergyCons!$C$3:$C$1000))*1,[1]OUT_TransportEnergyCons!I$3:I$1000)</f>
        <v>1.1858441782727045</v>
      </c>
    </row>
    <row r="1177" spans="2:18" x14ac:dyDescent="0.35">
      <c r="B1177" s="5" t="str">
        <f t="shared" si="745"/>
        <v>SPS4</v>
      </c>
      <c r="C1177" s="5" t="str">
        <f t="shared" si="744"/>
        <v>CH</v>
      </c>
      <c r="D1177" t="s">
        <v>1280</v>
      </c>
      <c r="E1177" t="s">
        <v>8</v>
      </c>
      <c r="F1177" s="1" cm="1">
        <f t="array" ref="F1177">SUMPRODUCT(("T-Plg-GSL-mix_S4"=[1]OUT_TransportEnergyCons!$A$3:$A$1000)*1,("Var_Fin"=[1]OUT_TransportEnergyCons!$B$3:$B$1000)*1,ISNUMBER(SEARCH("GSL",[1]OUT_TransportEnergyCons!$C$3:$C$1000))*1,[1]OUT_TransportEnergyCons!D$3:D$1000)</f>
        <v>0.17107701976847511</v>
      </c>
      <c r="G1177" s="1" cm="1">
        <f t="array" ref="G1177">SUMPRODUCT(("T-Plg-GSL-mix_S4"=[1]OUT_TransportEnergyCons!$A$3:$A$1000)*1,("Var_Fin"=[1]OUT_TransportEnergyCons!$B$3:$B$1000)*1,ISNUMBER(SEARCH("GSL",[1]OUT_TransportEnergyCons!$C$3:$C$1000))*1,[1]OUT_TransportEnergyCons!E$3:E$1000)</f>
        <v>0.30706124471770901</v>
      </c>
      <c r="H1177" s="1" cm="1">
        <f t="array" ref="H1177">SUMPRODUCT(("T-Plg-GSL-mix_S4"=[1]OUT_TransportEnergyCons!$A$3:$A$1000)*1,("Var_Fin"=[1]OUT_TransportEnergyCons!$B$3:$B$1000)*1,ISNUMBER(SEARCH("GSL",[1]OUT_TransportEnergyCons!$C$3:$C$1000))*1,[1]OUT_TransportEnergyCons!F$3:F$1000)</f>
        <v>0.28393302170491785</v>
      </c>
      <c r="I1177" s="1" cm="1">
        <f t="array" ref="I1177">SUMPRODUCT(("T-Plg-GSL-mix_S4"=[1]OUT_TransportEnergyCons!$A$3:$A$1000)*1,("Var_Fin"=[1]OUT_TransportEnergyCons!$B$3:$B$1000)*1,ISNUMBER(SEARCH("GSL",[1]OUT_TransportEnergyCons!$C$3:$C$1000))*1,[1]OUT_TransportEnergyCons!G$3:G$1000)</f>
        <v>0.22515611095628213</v>
      </c>
      <c r="J1177" s="1" cm="1">
        <f t="array" ref="J1177">SUMPRODUCT(("T-Plg-GSL-mix_S4"=[1]OUT_TransportEnergyCons!$A$3:$A$1000)*1,("Var_Fin"=[1]OUT_TransportEnergyCons!$B$3:$B$1000)*1,ISNUMBER(SEARCH("GSL",[1]OUT_TransportEnergyCons!$C$3:$C$1000))*1,[1]OUT_TransportEnergyCons!H$3:H$1000)</f>
        <v>4.8577634668233527E-3</v>
      </c>
      <c r="K1177" s="1" cm="1">
        <f t="array" ref="K1177">SUMPRODUCT(("T-Plg-GSL-mix_S4"=[1]OUT_TransportEnergyCons!$A$3:$A$1000)*1,("Var_Fin"=[1]OUT_TransportEnergyCons!$B$3:$B$1000)*1,ISNUMBER(SEARCH("GSL",[1]OUT_TransportEnergyCons!$C$3:$C$1000))*1,[1]OUT_TransportEnergyCons!I$3:I$1000)</f>
        <v>2.2045888244270955E-3</v>
      </c>
    </row>
    <row r="1178" spans="2:18" x14ac:dyDescent="0.35">
      <c r="B1178" s="5" t="str">
        <f t="shared" si="745"/>
        <v>SPS4</v>
      </c>
      <c r="C1178" s="5" t="str">
        <f t="shared" si="744"/>
        <v>CH</v>
      </c>
      <c r="D1178" t="s">
        <v>1281</v>
      </c>
      <c r="E1178" t="s">
        <v>8</v>
      </c>
      <c r="F1178" s="1">
        <f>SUM(F1183:F1200)</f>
        <v>60.408417708070075</v>
      </c>
      <c r="G1178" s="1">
        <f t="shared" ref="G1178:K1178" si="755">SUM(G1183:G1200)</f>
        <v>58.472312328110334</v>
      </c>
      <c r="H1178" s="1">
        <f t="shared" si="755"/>
        <v>46.395068776227532</v>
      </c>
      <c r="I1178" s="1">
        <f t="shared" si="755"/>
        <v>31.789481484451194</v>
      </c>
      <c r="J1178" s="1">
        <f t="shared" si="755"/>
        <v>14.222937990741361</v>
      </c>
      <c r="K1178" s="1">
        <f t="shared" si="755"/>
        <v>11.770702218114362</v>
      </c>
    </row>
    <row r="1179" spans="2:18" x14ac:dyDescent="0.35">
      <c r="B1179" s="5" t="str">
        <f t="shared" si="745"/>
        <v>SPS4</v>
      </c>
      <c r="C1179" s="5" t="str">
        <f>C1178</f>
        <v>CH</v>
      </c>
      <c r="D1179" t="s">
        <v>1282</v>
      </c>
      <c r="E1179" t="str">
        <f>E1178</f>
        <v>PJ/yr.</v>
      </c>
      <c r="F1179" s="1">
        <f>F1178-F1180</f>
        <v>58.907302011019176</v>
      </c>
      <c r="G1179" s="1">
        <f t="shared" ref="G1179:K1179" si="756">G1178-G1180</f>
        <v>56.948481119117176</v>
      </c>
      <c r="H1179" s="1">
        <f t="shared" si="756"/>
        <v>44.31328700235909</v>
      </c>
      <c r="I1179" s="1">
        <f t="shared" si="756"/>
        <v>30.372463943024464</v>
      </c>
      <c r="J1179" s="1">
        <f t="shared" si="756"/>
        <v>13.436195949772047</v>
      </c>
      <c r="K1179" s="1">
        <f t="shared" si="756"/>
        <v>11.287579537459161</v>
      </c>
    </row>
    <row r="1180" spans="2:18" x14ac:dyDescent="0.35">
      <c r="B1180" s="5" t="str">
        <f t="shared" si="745"/>
        <v>SPS4</v>
      </c>
      <c r="C1180" s="5" t="str">
        <f t="shared" ref="C1180:C1182" si="757">C1179</f>
        <v>CH</v>
      </c>
      <c r="D1180" t="s">
        <v>1283</v>
      </c>
      <c r="E1180" t="str">
        <f t="shared" ref="E1180:E1182" si="758">E1179</f>
        <v>PJ/yr.</v>
      </c>
      <c r="F1180" s="1">
        <f>SUM(F1181:F1182)</f>
        <v>1.501115697050897</v>
      </c>
      <c r="G1180" s="1">
        <f t="shared" ref="G1180" si="759">SUM(G1181:G1182)</f>
        <v>1.5238312089931567</v>
      </c>
      <c r="H1180" s="1">
        <f t="shared" ref="H1180" si="760">SUM(H1181:H1182)</f>
        <v>2.0817817738684443</v>
      </c>
      <c r="I1180" s="1">
        <f t="shared" ref="I1180" si="761">SUM(I1181:I1182)</f>
        <v>1.4170175414267299</v>
      </c>
      <c r="J1180" s="1">
        <f t="shared" ref="J1180" si="762">SUM(J1181:J1182)</f>
        <v>0.78674204096931399</v>
      </c>
      <c r="K1180" s="1">
        <f t="shared" ref="K1180" si="763">SUM(K1181:K1182)</f>
        <v>0.48312268065520197</v>
      </c>
    </row>
    <row r="1181" spans="2:18" x14ac:dyDescent="0.35">
      <c r="B1181" s="5" t="str">
        <f t="shared" si="745"/>
        <v>SPS4</v>
      </c>
      <c r="C1181" s="5" t="str">
        <f t="shared" si="757"/>
        <v>CH</v>
      </c>
      <c r="D1181" t="s">
        <v>1284</v>
      </c>
      <c r="E1181" t="str">
        <f t="shared" si="758"/>
        <v>PJ/yr.</v>
      </c>
      <c r="F1181" s="1">
        <f>[1]Transport!B$26/SUM([1]Transport!B$22,[1]Transport!B$26)*F1178*(F$33+F$580)/(F$33+F$580+F$36)</f>
        <v>1.501115697050897</v>
      </c>
      <c r="G1181" s="1">
        <f>[1]Transport!C$26/SUM([1]Transport!C$22,[1]Transport!C$26)*G1178*(G$33+G$580)/(G$33+G$580+G$36)</f>
        <v>1.5238312089931567</v>
      </c>
      <c r="H1181" s="1">
        <f>[1]Transport!D$26/SUM([1]Transport!D$22,[1]Transport!D$26)*H1178*(H$33+H$580)/(H$33+H$580+H$36)</f>
        <v>2.0817817738684443</v>
      </c>
      <c r="I1181" s="1">
        <f>[1]Transport!E$26/SUM([1]Transport!E$22,[1]Transport!E$26)*I1178*(I$33+I$580)/(I$33+I$580+I$36)</f>
        <v>1.4170175414267299</v>
      </c>
      <c r="J1181" s="1">
        <f>[1]Transport!F$26/SUM([1]Transport!F$22,[1]Transport!F$26)*J1178*(J$33+J$580)/(J$33+J$580+J$36)</f>
        <v>0.50497227072839712</v>
      </c>
      <c r="K1181" s="1">
        <f>[1]Transport!G$26/SUM([1]Transport!G$22,[1]Transport!G$26)*K1178*(K$33+K$580)/(K$33+K$580+K$36)</f>
        <v>0.48312268065520197</v>
      </c>
    </row>
    <row r="1182" spans="2:18" x14ac:dyDescent="0.35">
      <c r="B1182" s="5" t="str">
        <f t="shared" si="745"/>
        <v>SPS4</v>
      </c>
      <c r="C1182" s="5" t="str">
        <f t="shared" si="757"/>
        <v>CH</v>
      </c>
      <c r="D1182" t="s">
        <v>1285</v>
      </c>
      <c r="E1182" t="str">
        <f t="shared" si="758"/>
        <v>PJ/yr.</v>
      </c>
      <c r="F1182" s="1">
        <f>(F$36+F$716)/([1]Transport!B$22+[1]Transport!B$26)*F1178</f>
        <v>0</v>
      </c>
      <c r="G1182" s="1">
        <f>(G$36+G$716)/([1]Transport!C$22+[1]Transport!C$26)*G1178</f>
        <v>0</v>
      </c>
      <c r="H1182" s="1">
        <f>(H$36+H$716)/([1]Transport!D$22+[1]Transport!D$26)*H1178</f>
        <v>0</v>
      </c>
      <c r="I1182" s="1">
        <f>(I$36+I$716)/([1]Transport!E$22+[1]Transport!E$26)*I1178</f>
        <v>0</v>
      </c>
      <c r="J1182" s="1">
        <f>(J$36+J$716)/([1]Transport!F$22+[1]Transport!F$26)*J1178</f>
        <v>0.28176977024091693</v>
      </c>
      <c r="K1182" s="1">
        <f>(K$36+K$716)/([1]Transport!G$22+[1]Transport!G$26)*K1178</f>
        <v>0</v>
      </c>
      <c r="M1182" s="1"/>
      <c r="N1182" s="1"/>
      <c r="O1182" s="1"/>
      <c r="P1182" s="1"/>
      <c r="Q1182" s="1"/>
      <c r="R1182" s="1"/>
    </row>
    <row r="1183" spans="2:18" x14ac:dyDescent="0.35">
      <c r="B1183" s="5" t="str">
        <f t="shared" si="745"/>
        <v>SPS4</v>
      </c>
      <c r="C1183" s="5" t="str">
        <f>C1178</f>
        <v>CH</v>
      </c>
      <c r="D1183" t="s">
        <v>1286</v>
      </c>
      <c r="E1183" t="s">
        <v>8</v>
      </c>
      <c r="F1183" s="1" cm="1">
        <f t="array" ref="F1183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3" s="1" cm="1">
        <f t="array" ref="G1183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3" s="1" cm="1">
        <f t="array" ref="H1183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3" s="1" cm="1">
        <f t="array" ref="I1183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3" s="1" cm="1">
        <f t="array" ref="J1183">SUMPRODUCT(("T_C-HYBDSLEXT"=[1]OUT_TransportEnergyCons!$A$3:$A$1000)*1,("Var_Fin"=[1]OUT_TransportEnergyCons!$B$3:$B$1000)*1,ISNUMBER(SEARCH("DSL",[1]OUT_TransportEnergyCons!$C$3:$C$1000))*1,[1]OUT_TransportEnergyCons!H$3:H$1000)</f>
        <v>0</v>
      </c>
      <c r="K1183" s="1" cm="1">
        <f t="array" ref="K1183">SUMPRODUCT(("T_C-HYBDSLEXT"=[1]OUT_TransportEnergyCons!$A$3:$A$1000)*1,("Var_Fin"=[1]OUT_TransportEnergyCons!$B$3:$B$1000)*1,ISNUMBER(SEARCH("DSL",[1]OUT_TransportEnergyCons!$C$3:$C$1000))*1,[1]OUT_TransportEnergyCons!I$3:I$1000)</f>
        <v>0</v>
      </c>
    </row>
    <row r="1184" spans="2:18" x14ac:dyDescent="0.35">
      <c r="B1184" s="5" t="str">
        <f t="shared" si="745"/>
        <v>SPS4</v>
      </c>
      <c r="C1184" s="5" t="str">
        <f t="shared" si="744"/>
        <v>CH</v>
      </c>
      <c r="D1184" t="s">
        <v>1287</v>
      </c>
      <c r="E1184" t="s">
        <v>8</v>
      </c>
      <c r="F1184" s="1" cm="1">
        <f t="array" ref="F1184">SUMPRODUCT(("T_C-HY-DSL-S1"=[1]OUT_TransportEnergyCons!$A$3:$A$1000)*1,("Var_Fin"=[1]OUT_TransportEnergyCons!$B$3:$B$1000)*1,ISNUMBER(SEARCH("DSL",[1]OUT_TransportEnergyCons!$C$3:$C$1000))*1,[1]OUT_TransportEnergyCons!D$3:D$1000)</f>
        <v>3.2250275807518918E-5</v>
      </c>
      <c r="G1184" s="1" cm="1">
        <f t="array" ref="G1184">SUMPRODUCT(("T_C-HY-DSL-S1"=[1]OUT_TransportEnergyCons!$A$3:$A$1000)*1,("Var_Fin"=[1]OUT_TransportEnergyCons!$B$3:$B$1000)*1,ISNUMBER(SEARCH("DSL",[1]OUT_TransportEnergyCons!$C$3:$C$1000))*1,[1]OUT_TransportEnergyCons!E$3:E$1000)</f>
        <v>0.17641442221205889</v>
      </c>
      <c r="H1184" s="1" cm="1">
        <f t="array" ref="H1184">SUMPRODUCT(("T_C-HY-DSL-S1"=[1]OUT_TransportEnergyCons!$A$3:$A$1000)*1,("Var_Fin"=[1]OUT_TransportEnergyCons!$B$3:$B$1000)*1,ISNUMBER(SEARCH("DSL",[1]OUT_TransportEnergyCons!$C$3:$C$1000))*1,[1]OUT_TransportEnergyCons!F$3:F$1000)</f>
        <v>0.11809688948661602</v>
      </c>
      <c r="I1184" s="1" cm="1">
        <f t="array" ref="I1184">SUMPRODUCT(("T_C-HY-DSL-S1"=[1]OUT_TransportEnergyCons!$A$3:$A$1000)*1,("Var_Fin"=[1]OUT_TransportEnergyCons!$B$3:$B$1000)*1,ISNUMBER(SEARCH("DSL",[1]OUT_TransportEnergyCons!$C$3:$C$1000))*1,[1]OUT_TransportEnergyCons!G$3:G$1000)</f>
        <v>9.5231630220309296E-2</v>
      </c>
      <c r="J1184" s="1" cm="1">
        <f t="array" ref="J1184">SUMPRODUCT(("T_C-HY-DSL-S1"=[1]OUT_TransportEnergyCons!$A$3:$A$1000)*1,("Var_Fin"=[1]OUT_TransportEnergyCons!$B$3:$B$1000)*1,ISNUMBER(SEARCH("DSL",[1]OUT_TransportEnergyCons!$C$3:$C$1000))*1,[1]OUT_TransportEnergyCons!H$3:H$1000)</f>
        <v>1.1170087090856304</v>
      </c>
      <c r="K1184" s="1" cm="1">
        <f t="array" ref="K1184">SUMPRODUCT(("T_C-HY-DSL-S1"=[1]OUT_TransportEnergyCons!$A$3:$A$1000)*1,("Var_Fin"=[1]OUT_TransportEnergyCons!$B$3:$B$1000)*1,ISNUMBER(SEARCH("DSL",[1]OUT_TransportEnergyCons!$C$3:$C$1000))*1,[1]OUT_TransportEnergyCons!I$3:I$1000)</f>
        <v>0.4035744293281362</v>
      </c>
      <c r="R1184" s="1"/>
    </row>
    <row r="1185" spans="2:11" x14ac:dyDescent="0.35">
      <c r="B1185" s="5" t="str">
        <f t="shared" si="745"/>
        <v>SPS4</v>
      </c>
      <c r="C1185" s="5" t="str">
        <f t="shared" si="744"/>
        <v>CH</v>
      </c>
      <c r="D1185" t="s">
        <v>1288</v>
      </c>
      <c r="E1185" t="s">
        <v>8</v>
      </c>
      <c r="F1185" s="1" cm="1">
        <f t="array" ref="F1185">SUMPRODUCT(("T_C-HY-DSL-S2"=[1]OUT_TransportEnergyCons!$A$3:$A$1000)*1,("Var_Fin"=[1]OUT_TransportEnergyCons!$B$3:$B$1000)*1,ISNUMBER(SEARCH("DSL",[1]OUT_TransportEnergyCons!$C$3:$C$1000))*1,[1]OUT_TransportEnergyCons!D$3:D$1000)</f>
        <v>2.775044950219541E-3</v>
      </c>
      <c r="G1185" s="1" cm="1">
        <f t="array" ref="G1185">SUMPRODUCT(("T_C-HY-DSL-S2"=[1]OUT_TransportEnergyCons!$A$3:$A$1000)*1,("Var_Fin"=[1]OUT_TransportEnergyCons!$B$3:$B$1000)*1,ISNUMBER(SEARCH("DSL",[1]OUT_TransportEnergyCons!$C$3:$C$1000))*1,[1]OUT_TransportEnergyCons!E$3:E$1000)</f>
        <v>0.61605675532550774</v>
      </c>
      <c r="H1185" s="1" cm="1">
        <f t="array" ref="H1185">SUMPRODUCT(("T_C-HY-DSL-S2"=[1]OUT_TransportEnergyCons!$A$3:$A$1000)*1,("Var_Fin"=[1]OUT_TransportEnergyCons!$B$3:$B$1000)*1,ISNUMBER(SEARCH("DSL",[1]OUT_TransportEnergyCons!$C$3:$C$1000))*1,[1]OUT_TransportEnergyCons!F$3:F$1000)</f>
        <v>1.1222355083646056</v>
      </c>
      <c r="I1185" s="1" cm="1">
        <f t="array" ref="I1185">SUMPRODUCT(("T_C-HY-DSL-S2"=[1]OUT_TransportEnergyCons!$A$3:$A$1000)*1,("Var_Fin"=[1]OUT_TransportEnergyCons!$B$3:$B$1000)*1,ISNUMBER(SEARCH("DSL",[1]OUT_TransportEnergyCons!$C$3:$C$1000))*1,[1]OUT_TransportEnergyCons!G$3:G$1000)</f>
        <v>0.94355385644583567</v>
      </c>
      <c r="J1185" s="1" cm="1">
        <f t="array" ref="J1185">SUMPRODUCT(("T_C-HY-DSL-S2"=[1]OUT_TransportEnergyCons!$A$3:$A$1000)*1,("Var_Fin"=[1]OUT_TransportEnergyCons!$B$3:$B$1000)*1,ISNUMBER(SEARCH("DSL",[1]OUT_TransportEnergyCons!$C$3:$C$1000))*1,[1]OUT_TransportEnergyCons!H$3:H$1000)</f>
        <v>0.12833760143692782</v>
      </c>
      <c r="K1185" s="1" cm="1">
        <f t="array" ref="K1185">SUMPRODUCT(("T_C-HY-DSL-S2"=[1]OUT_TransportEnergyCons!$A$3:$A$1000)*1,("Var_Fin"=[1]OUT_TransportEnergyCons!$B$3:$B$1000)*1,ISNUMBER(SEARCH("DSL",[1]OUT_TransportEnergyCons!$C$3:$C$1000))*1,[1]OUT_TransportEnergyCons!I$3:I$1000)</f>
        <v>1.4927125050475041</v>
      </c>
    </row>
    <row r="1186" spans="2:11" x14ac:dyDescent="0.35">
      <c r="B1186" s="5" t="str">
        <f t="shared" si="745"/>
        <v>SPS4</v>
      </c>
      <c r="C1186" s="5" t="str">
        <f t="shared" si="744"/>
        <v>CH</v>
      </c>
      <c r="D1186" t="s">
        <v>1289</v>
      </c>
      <c r="E1186" t="s">
        <v>8</v>
      </c>
      <c r="F1186" s="1" cm="1">
        <f t="array" ref="F1186">SUMPRODUCT(("T_C-HY-DSL-S3"=[1]OUT_TransportEnergyCons!$A$3:$A$1000)*1,("Var_Fin"=[1]OUT_TransportEnergyCons!$B$3:$B$1000)*1,ISNUMBER(SEARCH("DSL",[1]OUT_TransportEnergyCons!$C$3:$C$1000))*1,[1]OUT_TransportEnergyCons!D$3:D$1000)</f>
        <v>2.9248379105505432E-2</v>
      </c>
      <c r="G1186" s="1" cm="1">
        <f t="array" ref="G1186">SUMPRODUCT(("T_C-HY-DSL-S3"=[1]OUT_TransportEnergyCons!$A$3:$A$1000)*1,("Var_Fin"=[1]OUT_TransportEnergyCons!$B$3:$B$1000)*1,ISNUMBER(SEARCH("DSL",[1]OUT_TransportEnergyCons!$C$3:$C$1000))*1,[1]OUT_TransportEnergyCons!E$3:E$1000)</f>
        <v>4.5755700606665825E-2</v>
      </c>
      <c r="H1186" s="1" cm="1">
        <f t="array" ref="H1186">SUMPRODUCT(("T_C-HY-DSL-S3"=[1]OUT_TransportEnergyCons!$A$3:$A$1000)*1,("Var_Fin"=[1]OUT_TransportEnergyCons!$B$3:$B$1000)*1,ISNUMBER(SEARCH("DSL",[1]OUT_TransportEnergyCons!$C$3:$C$1000))*1,[1]OUT_TransportEnergyCons!F$3:F$1000)</f>
        <v>4.3879153519198952E-2</v>
      </c>
      <c r="I1186" s="1" cm="1">
        <f t="array" ref="I1186">SUMPRODUCT(("T_C-HY-DSL-S3"=[1]OUT_TransportEnergyCons!$A$3:$A$1000)*1,("Var_Fin"=[1]OUT_TransportEnergyCons!$B$3:$B$1000)*1,ISNUMBER(SEARCH("DSL",[1]OUT_TransportEnergyCons!$C$3:$C$1000))*1,[1]OUT_TransportEnergyCons!G$3:G$1000)</f>
        <v>3.3199400549192494E-2</v>
      </c>
      <c r="J1186" s="1" cm="1">
        <f t="array" ref="J1186">SUMPRODUCT(("T_C-HY-DSL-S3"=[1]OUT_TransportEnergyCons!$A$3:$A$1000)*1,("Var_Fin"=[1]OUT_TransportEnergyCons!$B$3:$B$1000)*1,ISNUMBER(SEARCH("DSL",[1]OUT_TransportEnergyCons!$C$3:$C$1000))*1,[1]OUT_TransportEnergyCons!H$3:H$1000)</f>
        <v>1.0535980277016489E-3</v>
      </c>
      <c r="K1186" s="1" cm="1">
        <f t="array" ref="K1186">SUMPRODUCT(("T_C-HY-DSL-S3"=[1]OUT_TransportEnergyCons!$A$3:$A$1000)*1,("Var_Fin"=[1]OUT_TransportEnergyCons!$B$3:$B$1000)*1,ISNUMBER(SEARCH("DSL",[1]OUT_TransportEnergyCons!$C$3:$C$1000))*1,[1]OUT_TransportEnergyCons!I$3:I$1000)</f>
        <v>6.6687824108074096E-4</v>
      </c>
    </row>
    <row r="1187" spans="2:11" x14ac:dyDescent="0.35">
      <c r="B1187" s="5" t="str">
        <f t="shared" si="745"/>
        <v>SPS4</v>
      </c>
      <c r="C1187" s="5" t="str">
        <f t="shared" si="744"/>
        <v>CH</v>
      </c>
      <c r="D1187" t="s">
        <v>1290</v>
      </c>
      <c r="E1187" t="s">
        <v>8</v>
      </c>
      <c r="F1187" s="1" cm="1">
        <f t="array" ref="F1187">SUMPRODUCT(("T_C-HY-DSL-S4"=[1]OUT_TransportEnergyCons!$A$3:$A$1000)*1,("Var_Fin"=[1]OUT_TransportEnergyCons!$B$3:$B$1000)*1,ISNUMBER(SEARCH("DSL",[1]OUT_TransportEnergyCons!$C$3:$C$1000))*1,[1]OUT_TransportEnergyCons!D$3:D$1000)</f>
        <v>3.5213855797479987E-2</v>
      </c>
      <c r="G1187" s="1" cm="1">
        <f t="array" ref="G1187">SUMPRODUCT(("T_C-HY-DSL-S4"=[1]OUT_TransportEnergyCons!$A$3:$A$1000)*1,("Var_Fin"=[1]OUT_TransportEnergyCons!$B$3:$B$1000)*1,ISNUMBER(SEARCH("DSL",[1]OUT_TransportEnergyCons!$C$3:$C$1000))*1,[1]OUT_TransportEnergyCons!E$3:E$1000)</f>
        <v>7.1275206376644237E-2</v>
      </c>
      <c r="H1187" s="1" cm="1">
        <f t="array" ref="H1187">SUMPRODUCT(("T_C-HY-DSL-S4"=[1]OUT_TransportEnergyCons!$A$3:$A$1000)*1,("Var_Fin"=[1]OUT_TransportEnergyCons!$B$3:$B$1000)*1,ISNUMBER(SEARCH("DSL",[1]OUT_TransportEnergyCons!$C$3:$C$1000))*1,[1]OUT_TransportEnergyCons!F$3:F$1000)</f>
        <v>6.7623449889012963E-2</v>
      </c>
      <c r="I1187" s="1" cm="1">
        <f t="array" ref="I1187">SUMPRODUCT(("T_C-HY-DSL-S4"=[1]OUT_TransportEnergyCons!$A$3:$A$1000)*1,("Var_Fin"=[1]OUT_TransportEnergyCons!$B$3:$B$1000)*1,ISNUMBER(SEARCH("DSL",[1]OUT_TransportEnergyCons!$C$3:$C$1000))*1,[1]OUT_TransportEnergyCons!G$3:G$1000)</f>
        <v>5.5785741152561866E-2</v>
      </c>
      <c r="J1187" s="1" cm="1">
        <f t="array" ref="J1187">SUMPRODUCT(("T_C-HY-DSL-S4"=[1]OUT_TransportEnergyCons!$A$3:$A$1000)*1,("Var_Fin"=[1]OUT_TransportEnergyCons!$B$3:$B$1000)*1,ISNUMBER(SEARCH("DSL",[1]OUT_TransportEnergyCons!$C$3:$C$1000))*1,[1]OUT_TransportEnergyCons!H$3:H$1000)</f>
        <v>1.4056747252339694E-3</v>
      </c>
      <c r="K1187" s="1" cm="1">
        <f t="array" ref="K1187">SUMPRODUCT(("T_C-HY-DSL-S4"=[1]OUT_TransportEnergyCons!$A$3:$A$1000)*1,("Var_Fin"=[1]OUT_TransportEnergyCons!$B$3:$B$1000)*1,ISNUMBER(SEARCH("DSL",[1]OUT_TransportEnergyCons!$C$3:$C$1000))*1,[1]OUT_TransportEnergyCons!I$3:I$1000)</f>
        <v>2.2378440644399114E-3</v>
      </c>
    </row>
    <row r="1188" spans="2:11" x14ac:dyDescent="0.35">
      <c r="B1188" s="5" t="str">
        <f t="shared" si="745"/>
        <v>SPS4</v>
      </c>
      <c r="C1188" s="5" t="str">
        <f t="shared" si="744"/>
        <v>CH</v>
      </c>
      <c r="D1188" t="s">
        <v>1291</v>
      </c>
      <c r="E1188" t="s">
        <v>8</v>
      </c>
      <c r="F1188" s="1" cm="1">
        <f t="array" ref="F1188">SUMPRODUCT(("T_C-ICEDSLEXT"=[1]OUT_TransportEnergyCons!$A$3:$A$1000)*1,("Var_Fin"=[1]OUT_TransportEnergyCons!$B$3:$B$1000)*1,ISNUMBER(SEARCH("DSL",[1]OUT_TransportEnergyCons!$C$3:$C$1000))*1,[1]OUT_TransportEnergyCons!D$3:D$1000)</f>
        <v>52.132149414652311</v>
      </c>
      <c r="G1188" s="1" cm="1">
        <f t="array" ref="G1188">SUMPRODUCT(("T_C-ICEDSLEXT"=[1]OUT_TransportEnergyCons!$A$3:$A$1000)*1,("Var_Fin"=[1]OUT_TransportEnergyCons!$B$3:$B$1000)*1,ISNUMBER(SEARCH("DSL",[1]OUT_TransportEnergyCons!$C$3:$C$1000))*1,[1]OUT_TransportEnergyCons!E$3:E$1000)</f>
        <v>48.700920628146562</v>
      </c>
      <c r="H1188" s="1" cm="1">
        <f t="array" ref="H1188">SUMPRODUCT(("T_C-ICEDSLEXT"=[1]OUT_TransportEnergyCons!$A$3:$A$1000)*1,("Var_Fin"=[1]OUT_TransportEnergyCons!$B$3:$B$1000)*1,ISNUMBER(SEARCH("DSL",[1]OUT_TransportEnergyCons!$C$3:$C$1000))*1,[1]OUT_TransportEnergyCons!F$3:F$1000)</f>
        <v>34.866494780006583</v>
      </c>
      <c r="I1188" s="1" cm="1">
        <f t="array" ref="I1188">SUMPRODUCT(("T_C-ICEDSLEXT"=[1]OUT_TransportEnergyCons!$A$3:$A$1000)*1,("Var_Fin"=[1]OUT_TransportEnergyCons!$B$3:$B$1000)*1,ISNUMBER(SEARCH("DSL",[1]OUT_TransportEnergyCons!$C$3:$C$1000))*1,[1]OUT_TransportEnergyCons!G$3:G$1000)</f>
        <v>16.032006148144923</v>
      </c>
      <c r="J1188" s="1" cm="1">
        <f t="array" ref="J1188">SUMPRODUCT(("T_C-ICEDSLEXT"=[1]OUT_TransportEnergyCons!$A$3:$A$1000)*1,("Var_Fin"=[1]OUT_TransportEnergyCons!$B$3:$B$1000)*1,ISNUMBER(SEARCH("DSL",[1]OUT_TransportEnergyCons!$C$3:$C$1000))*1,[1]OUT_TransportEnergyCons!H$3:H$1000)</f>
        <v>0</v>
      </c>
      <c r="K1188" s="1" cm="1">
        <f t="array" ref="K1188">SUMPRODUCT(("T_C-ICEDSLEXT"=[1]OUT_TransportEnergyCons!$A$3:$A$1000)*1,("Var_Fin"=[1]OUT_TransportEnergyCons!$B$3:$B$1000)*1,ISNUMBER(SEARCH("DSL",[1]OUT_TransportEnergyCons!$C$3:$C$1000))*1,[1]OUT_TransportEnergyCons!I$3:I$1000)</f>
        <v>0</v>
      </c>
    </row>
    <row r="1189" spans="2:11" x14ac:dyDescent="0.35">
      <c r="B1189" s="5" t="str">
        <f t="shared" si="745"/>
        <v>SPS4</v>
      </c>
      <c r="C1189" s="5" t="str">
        <f t="shared" si="744"/>
        <v>CH</v>
      </c>
      <c r="D1189" t="s">
        <v>1292</v>
      </c>
      <c r="E1189" t="s">
        <v>8</v>
      </c>
      <c r="F1189" s="1" cm="1">
        <f t="array" ref="F1189">SUMPRODUCT(("T_C-ICE-DSL-S1"=[1]OUT_TransportEnergyCons!$A$3:$A$1000)*1,("Var_Fin"=[1]OUT_TransportEnergyCons!$B$3:$B$1000)*1,ISNUMBER(SEARCH("DSL",[1]OUT_TransportEnergyCons!$C$3:$C$1000))*1,[1]OUT_TransportEnergyCons!D$3:D$1000)</f>
        <v>5.1454601717707124E-3</v>
      </c>
      <c r="G1189" s="1" cm="1">
        <f t="array" ref="G1189">SUMPRODUCT(("T_C-ICE-DSL-S1"=[1]OUT_TransportEnergyCons!$A$3:$A$1000)*1,("Var_Fin"=[1]OUT_TransportEnergyCons!$B$3:$B$1000)*1,ISNUMBER(SEARCH("DSL",[1]OUT_TransportEnergyCons!$C$3:$C$1000))*1,[1]OUT_TransportEnergyCons!E$3:E$1000)</f>
        <v>6.0020650941647853E-3</v>
      </c>
      <c r="H1189" s="1" cm="1">
        <f t="array" ref="H1189">SUMPRODUCT(("T_C-ICE-DSL-S1"=[1]OUT_TransportEnergyCons!$A$3:$A$1000)*1,("Var_Fin"=[1]OUT_TransportEnergyCons!$B$3:$B$1000)*1,ISNUMBER(SEARCH("DSL",[1]OUT_TransportEnergyCons!$C$3:$C$1000))*1,[1]OUT_TransportEnergyCons!F$3:F$1000)</f>
        <v>4.9094296976936744E-3</v>
      </c>
      <c r="I1189" s="1" cm="1">
        <f t="array" ref="I1189">SUMPRODUCT(("T_C-ICE-DSL-S1"=[1]OUT_TransportEnergyCons!$A$3:$A$1000)*1,("Var_Fin"=[1]OUT_TransportEnergyCons!$B$3:$B$1000)*1,ISNUMBER(SEARCH("DSL",[1]OUT_TransportEnergyCons!$C$3:$C$1000))*1,[1]OUT_TransportEnergyCons!G$3:G$1000)</f>
        <v>3.7411524591322558E-3</v>
      </c>
      <c r="J1189" s="1" cm="1">
        <f t="array" ref="J1189">SUMPRODUCT(("T_C-ICE-DSL-S1"=[1]OUT_TransportEnergyCons!$A$3:$A$1000)*1,("Var_Fin"=[1]OUT_TransportEnergyCons!$B$3:$B$1000)*1,ISNUMBER(SEARCH("DSL",[1]OUT_TransportEnergyCons!$C$3:$C$1000))*1,[1]OUT_TransportEnergyCons!H$3:H$1000)</f>
        <v>6.2229257707586787E-4</v>
      </c>
      <c r="K1189" s="1" cm="1">
        <f t="array" ref="K1189">SUMPRODUCT(("T_C-ICE-DSL-S1"=[1]OUT_TransportEnergyCons!$A$3:$A$1000)*1,("Var_Fin"=[1]OUT_TransportEnergyCons!$B$3:$B$1000)*1,ISNUMBER(SEARCH("DSL",[1]OUT_TransportEnergyCons!$C$3:$C$1000))*1,[1]OUT_TransportEnergyCons!I$3:I$1000)</f>
        <v>2.2434819044520095E-4</v>
      </c>
    </row>
    <row r="1190" spans="2:11" x14ac:dyDescent="0.35">
      <c r="B1190" s="5" t="str">
        <f t="shared" si="745"/>
        <v>SPS4</v>
      </c>
      <c r="C1190" s="5" t="str">
        <f t="shared" si="744"/>
        <v>CH</v>
      </c>
      <c r="D1190" t="s">
        <v>1293</v>
      </c>
      <c r="E1190" t="s">
        <v>8</v>
      </c>
      <c r="F1190" s="1" cm="1">
        <f t="array" ref="F1190">SUMPRODUCT(("T_C-ICE-DSL-S2"=[1]OUT_TransportEnergyCons!$A$3:$A$1000)*1,("Var_Fin"=[1]OUT_TransportEnergyCons!$B$3:$B$1000)*1,ISNUMBER(SEARCH("DSL",[1]OUT_TransportEnergyCons!$C$3:$C$1000))*1,[1]OUT_TransportEnergyCons!D$3:D$1000)</f>
        <v>1.2216113145378364</v>
      </c>
      <c r="G1190" s="1" cm="1">
        <f t="array" ref="G1190">SUMPRODUCT(("T_C-ICE-DSL-S2"=[1]OUT_TransportEnergyCons!$A$3:$A$1000)*1,("Var_Fin"=[1]OUT_TransportEnergyCons!$B$3:$B$1000)*1,ISNUMBER(SEARCH("DSL",[1]OUT_TransportEnergyCons!$C$3:$C$1000))*1,[1]OUT_TransportEnergyCons!E$3:E$1000)</f>
        <v>1.2832700987768986</v>
      </c>
      <c r="H1190" s="1" cm="1">
        <f t="array" ref="H1190">SUMPRODUCT(("T_C-ICE-DSL-S2"=[1]OUT_TransportEnergyCons!$A$3:$A$1000)*1,("Var_Fin"=[1]OUT_TransportEnergyCons!$B$3:$B$1000)*1,ISNUMBER(SEARCH("DSL",[1]OUT_TransportEnergyCons!$C$3:$C$1000))*1,[1]OUT_TransportEnergyCons!F$3:F$1000)</f>
        <v>1.1116683637881954</v>
      </c>
      <c r="I1190" s="1" cm="1">
        <f t="array" ref="I1190">SUMPRODUCT(("T_C-ICE-DSL-S2"=[1]OUT_TransportEnergyCons!$A$3:$A$1000)*1,("Var_Fin"=[1]OUT_TransportEnergyCons!$B$3:$B$1000)*1,ISNUMBER(SEARCH("DSL",[1]OUT_TransportEnergyCons!$C$3:$C$1000))*1,[1]OUT_TransportEnergyCons!G$3:G$1000)</f>
        <v>0.83275916721672971</v>
      </c>
      <c r="J1190" s="1" cm="1">
        <f t="array" ref="J1190">SUMPRODUCT(("T_C-ICE-DSL-S2"=[1]OUT_TransportEnergyCons!$A$3:$A$1000)*1,("Var_Fin"=[1]OUT_TransportEnergyCons!$B$3:$B$1000)*1,ISNUMBER(SEARCH("DSL",[1]OUT_TransportEnergyCons!$C$3:$C$1000))*1,[1]OUT_TransportEnergyCons!H$3:H$1000)</f>
        <v>1.1113049476540954E-3</v>
      </c>
      <c r="K1190" s="1" cm="1">
        <f t="array" ref="K1190">SUMPRODUCT(("T_C-ICE-DSL-S2"=[1]OUT_TransportEnergyCons!$A$3:$A$1000)*1,("Var_Fin"=[1]OUT_TransportEnergyCons!$B$3:$B$1000)*1,ISNUMBER(SEARCH("DSL",[1]OUT_TransportEnergyCons!$C$3:$C$1000))*1,[1]OUT_TransportEnergyCons!I$3:I$1000)</f>
        <v>3.9982359305506176E-4</v>
      </c>
    </row>
    <row r="1191" spans="2:11" x14ac:dyDescent="0.35">
      <c r="B1191" s="5" t="str">
        <f t="shared" si="745"/>
        <v>SPS4</v>
      </c>
      <c r="C1191" s="5" t="str">
        <f t="shared" si="744"/>
        <v>CH</v>
      </c>
      <c r="D1191" t="s">
        <v>1294</v>
      </c>
      <c r="E1191" t="s">
        <v>8</v>
      </c>
      <c r="F1191" s="1" cm="1">
        <f t="array" ref="F1191">SUMPRODUCT(("T_C-ICE-DSL-S3"=[1]OUT_TransportEnergyCons!$A$3:$A$1000)*1,("Var_Fin"=[1]OUT_TransportEnergyCons!$B$3:$B$1000)*1,ISNUMBER(SEARCH("DSL",[1]OUT_TransportEnergyCons!$C$3:$C$1000))*1,[1]OUT_TransportEnergyCons!D$3:D$1000)</f>
        <v>5.0402139535807366</v>
      </c>
      <c r="G1191" s="1" cm="1">
        <f t="array" ref="G1191">SUMPRODUCT(("T_C-ICE-DSL-S3"=[1]OUT_TransportEnergyCons!$A$3:$A$1000)*1,("Var_Fin"=[1]OUT_TransportEnergyCons!$B$3:$B$1000)*1,ISNUMBER(SEARCH("DSL",[1]OUT_TransportEnergyCons!$C$3:$C$1000))*1,[1]OUT_TransportEnergyCons!E$3:E$1000)</f>
        <v>5.3269711613804507</v>
      </c>
      <c r="H1191" s="1" cm="1">
        <f t="array" ref="H1191">SUMPRODUCT(("T_C-ICE-DSL-S3"=[1]OUT_TransportEnergyCons!$A$3:$A$1000)*1,("Var_Fin"=[1]OUT_TransportEnergyCons!$B$3:$B$1000)*1,ISNUMBER(SEARCH("DSL",[1]OUT_TransportEnergyCons!$C$3:$C$1000))*1,[1]OUT_TransportEnergyCons!F$3:F$1000)</f>
        <v>5.2760389059283117</v>
      </c>
      <c r="I1191" s="1" cm="1">
        <f t="array" ref="I1191">SUMPRODUCT(("T_C-ICE-DSL-S3"=[1]OUT_TransportEnergyCons!$A$3:$A$1000)*1,("Var_Fin"=[1]OUT_TransportEnergyCons!$B$3:$B$1000)*1,ISNUMBER(SEARCH("DSL",[1]OUT_TransportEnergyCons!$C$3:$C$1000))*1,[1]OUT_TransportEnergyCons!G$3:G$1000)</f>
        <v>4.0300199687726499</v>
      </c>
      <c r="J1191" s="1" cm="1">
        <f t="array" ref="J1191">SUMPRODUCT(("T_C-ICE-DSL-S3"=[1]OUT_TransportEnergyCons!$A$3:$A$1000)*1,("Var_Fin"=[1]OUT_TransportEnergyCons!$B$3:$B$1000)*1,ISNUMBER(SEARCH("DSL",[1]OUT_TransportEnergyCons!$C$3:$C$1000))*1,[1]OUT_TransportEnergyCons!H$3:H$1000)</f>
        <v>1.2413455730432635E-3</v>
      </c>
      <c r="K1191" s="1" cm="1">
        <f t="array" ref="K1191">SUMPRODUCT(("T_C-ICE-DSL-S3"=[1]OUT_TransportEnergyCons!$A$3:$A$1000)*1,("Var_Fin"=[1]OUT_TransportEnergyCons!$B$3:$B$1000)*1,ISNUMBER(SEARCH("DSL",[1]OUT_TransportEnergyCons!$C$3:$C$1000))*1,[1]OUT_TransportEnergyCons!I$3:I$1000)</f>
        <v>5.2064469281347652E-4</v>
      </c>
    </row>
    <row r="1192" spans="2:11" x14ac:dyDescent="0.35">
      <c r="B1192" s="5" t="str">
        <f t="shared" si="745"/>
        <v>SPS4</v>
      </c>
      <c r="C1192" s="5" t="str">
        <f t="shared" si="744"/>
        <v>CH</v>
      </c>
      <c r="D1192" t="s">
        <v>1295</v>
      </c>
      <c r="E1192" t="s">
        <v>8</v>
      </c>
      <c r="F1192" s="1" cm="1">
        <f t="array" ref="F1192">SUMPRODUCT(("T_C-ICE-DSL-S4"=[1]OUT_TransportEnergyCons!$A$3:$A$1000)*1,("Var_Fin"=[1]OUT_TransportEnergyCons!$B$3:$B$1000)*1,ISNUMBER(SEARCH("DSL",[1]OUT_TransportEnergyCons!$C$3:$C$1000))*1,[1]OUT_TransportEnergyCons!D$3:D$1000)</f>
        <v>1.93619219661081</v>
      </c>
      <c r="G1192" s="1" cm="1">
        <f t="array" ref="G1192">SUMPRODUCT(("T_C-ICE-DSL-S4"=[1]OUT_TransportEnergyCons!$A$3:$A$1000)*1,("Var_Fin"=[1]OUT_TransportEnergyCons!$B$3:$B$1000)*1,ISNUMBER(SEARCH("DSL",[1]OUT_TransportEnergyCons!$C$3:$C$1000))*1,[1]OUT_TransportEnergyCons!E$3:E$1000)</f>
        <v>2.2107683937303122</v>
      </c>
      <c r="H1192" s="1" cm="1">
        <f t="array" ref="H1192">SUMPRODUCT(("T_C-ICE-DSL-S4"=[1]OUT_TransportEnergyCons!$A$3:$A$1000)*1,("Var_Fin"=[1]OUT_TransportEnergyCons!$B$3:$B$1000)*1,ISNUMBER(SEARCH("DSL",[1]OUT_TransportEnergyCons!$C$3:$C$1000))*1,[1]OUT_TransportEnergyCons!F$3:F$1000)</f>
        <v>2.1677961418154221</v>
      </c>
      <c r="I1192" s="1" cm="1">
        <f t="array" ref="I1192">SUMPRODUCT(("T_C-ICE-DSL-S4"=[1]OUT_TransportEnergyCons!$A$3:$A$1000)*1,("Var_Fin"=[1]OUT_TransportEnergyCons!$B$3:$B$1000)*1,ISNUMBER(SEARCH("DSL",[1]OUT_TransportEnergyCons!$C$3:$C$1000))*1,[1]OUT_TransportEnergyCons!G$3:G$1000)</f>
        <v>1.6735376770882884</v>
      </c>
      <c r="J1192" s="1" cm="1">
        <f t="array" ref="J1192">SUMPRODUCT(("T_C-ICE-DSL-S4"=[1]OUT_TransportEnergyCons!$A$3:$A$1000)*1,("Var_Fin"=[1]OUT_TransportEnergyCons!$B$3:$B$1000)*1,ISNUMBER(SEARCH("DSL",[1]OUT_TransportEnergyCons!$C$3:$C$1000))*1,[1]OUT_TransportEnergyCons!H$3:H$1000)</f>
        <v>7.2892245599525003E-4</v>
      </c>
      <c r="K1192" s="1" cm="1">
        <f t="array" ref="K1192">SUMPRODUCT(("T_C-ICE-DSL-S4"=[1]OUT_TransportEnergyCons!$A$3:$A$1000)*1,("Var_Fin"=[1]OUT_TransportEnergyCons!$B$3:$B$1000)*1,ISNUMBER(SEARCH("DSL",[1]OUT_TransportEnergyCons!$C$3:$C$1000))*1,[1]OUT_TransportEnergyCons!I$3:I$1000)</f>
        <v>3.4453975244924868E-4</v>
      </c>
    </row>
    <row r="1193" spans="2:11" x14ac:dyDescent="0.35">
      <c r="B1193" s="5" t="str">
        <f t="shared" si="745"/>
        <v>SPS4</v>
      </c>
      <c r="C1193" s="5" t="str">
        <f t="shared" si="744"/>
        <v>CH</v>
      </c>
      <c r="D1193" t="s">
        <v>1296</v>
      </c>
      <c r="E1193" t="s">
        <v>8</v>
      </c>
      <c r="F1193" s="1" cm="1">
        <f t="array" ref="F1193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3" s="1" cm="1">
        <f t="array" ref="G1193">SUMPRODUCT(("T_C-MHY-DSL-S1"=[1]OUT_TransportEnergyCons!$A$3:$A$1000)*1,("Var_Fin"=[1]OUT_TransportEnergyCons!$B$3:$B$1000)*1,ISNUMBER(SEARCH("DSL",[1]OUT_TransportEnergyCons!$C$3:$C$1000))*1,[1]OUT_TransportEnergyCons!E$3:E$1000)</f>
        <v>4.0076696002370701E-4</v>
      </c>
      <c r="H1193" s="1" cm="1">
        <f t="array" ref="H1193">SUMPRODUCT(("T_C-MHY-DSL-S1"=[1]OUT_TransportEnergyCons!$A$3:$A$1000)*1,("Var_Fin"=[1]OUT_TransportEnergyCons!$B$3:$B$1000)*1,ISNUMBER(SEARCH("DSL",[1]OUT_TransportEnergyCons!$C$3:$C$1000))*1,[1]OUT_TransportEnergyCons!F$3:F$1000)</f>
        <v>0.1397960477191498</v>
      </c>
      <c r="I1193" s="1" cm="1">
        <f t="array" ref="I1193">SUMPRODUCT(("T_C-MHY-DSL-S1"=[1]OUT_TransportEnergyCons!$A$3:$A$1000)*1,("Var_Fin"=[1]OUT_TransportEnergyCons!$B$3:$B$1000)*1,ISNUMBER(SEARCH("DSL",[1]OUT_TransportEnergyCons!$C$3:$C$1000))*1,[1]OUT_TransportEnergyCons!G$3:G$1000)</f>
        <v>1.5537899532531316</v>
      </c>
      <c r="J1193" s="1" cm="1">
        <f t="array" ref="J1193">SUMPRODUCT(("T_C-MHY-DSL-S1"=[1]OUT_TransportEnergyCons!$A$3:$A$1000)*1,("Var_Fin"=[1]OUT_TransportEnergyCons!$B$3:$B$1000)*1,ISNUMBER(SEARCH("DSL",[1]OUT_TransportEnergyCons!$C$3:$C$1000))*1,[1]OUT_TransportEnergyCons!H$3:H$1000)</f>
        <v>0.63622999389409574</v>
      </c>
      <c r="K1193" s="1" cm="1">
        <f t="array" ref="K1193">SUMPRODUCT(("T_C-MHY-DSL-S1"=[1]OUT_TransportEnergyCons!$A$3:$A$1000)*1,("Var_Fin"=[1]OUT_TransportEnergyCons!$B$3:$B$1000)*1,ISNUMBER(SEARCH("DSL",[1]OUT_TransportEnergyCons!$C$3:$C$1000))*1,[1]OUT_TransportEnergyCons!I$3:I$1000)</f>
        <v>1.4013942224770906E-2</v>
      </c>
    </row>
    <row r="1194" spans="2:11" x14ac:dyDescent="0.35">
      <c r="B1194" s="5" t="str">
        <f t="shared" si="745"/>
        <v>SPS4</v>
      </c>
      <c r="C1194" s="5" t="str">
        <f t="shared" si="744"/>
        <v>CH</v>
      </c>
      <c r="D1194" t="s">
        <v>1297</v>
      </c>
      <c r="E1194" t="s">
        <v>8</v>
      </c>
      <c r="F1194" s="1" cm="1">
        <f t="array" ref="F1194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4" s="1" cm="1">
        <f t="array" ref="G1194">SUMPRODUCT(("T_C-MHY-DSL-S2"=[1]OUT_TransportEnergyCons!$A$3:$A$1000)*1,("Var_Fin"=[1]OUT_TransportEnergyCons!$B$3:$B$1000)*1,ISNUMBER(SEARCH("DSL",[1]OUT_TransportEnergyCons!$C$3:$C$1000))*1,[1]OUT_TransportEnergyCons!E$3:E$1000)</f>
        <v>2.9020179486434521E-4</v>
      </c>
      <c r="H1194" s="1" cm="1">
        <f t="array" ref="H1194">SUMPRODUCT(("T_C-MHY-DSL-S2"=[1]OUT_TransportEnergyCons!$A$3:$A$1000)*1,("Var_Fin"=[1]OUT_TransportEnergyCons!$B$3:$B$1000)*1,ISNUMBER(SEARCH("DSL",[1]OUT_TransportEnergyCons!$C$3:$C$1000))*1,[1]OUT_TransportEnergyCons!F$3:F$1000)</f>
        <v>1.8492989288410287E-3</v>
      </c>
      <c r="I1194" s="1" cm="1">
        <f t="array" ref="I1194">SUMPRODUCT(("T_C-MHY-DSL-S2"=[1]OUT_TransportEnergyCons!$A$3:$A$1000)*1,("Var_Fin"=[1]OUT_TransportEnergyCons!$B$3:$B$1000)*1,ISNUMBER(SEARCH("DSL",[1]OUT_TransportEnergyCons!$C$3:$C$1000))*1,[1]OUT_TransportEnergyCons!G$3:G$1000)</f>
        <v>0.19723356637596368</v>
      </c>
      <c r="J1194" s="1" cm="1">
        <f t="array" ref="J1194">SUMPRODUCT(("T_C-MHY-DSL-S2"=[1]OUT_TransportEnergyCons!$A$3:$A$1000)*1,("Var_Fin"=[1]OUT_TransportEnergyCons!$B$3:$B$1000)*1,ISNUMBER(SEARCH("DSL",[1]OUT_TransportEnergyCons!$C$3:$C$1000))*1,[1]OUT_TransportEnergyCons!H$3:H$1000)</f>
        <v>6.249290406269388E-2</v>
      </c>
      <c r="K1194" s="1" cm="1">
        <f t="array" ref="K1194">SUMPRODUCT(("T_C-MHY-DSL-S2"=[1]OUT_TransportEnergyCons!$A$3:$A$1000)*1,("Var_Fin"=[1]OUT_TransportEnergyCons!$B$3:$B$1000)*1,ISNUMBER(SEARCH("DSL",[1]OUT_TransportEnergyCons!$C$3:$C$1000))*1,[1]OUT_TransportEnergyCons!I$3:I$1000)</f>
        <v>1.8388650115391378E-3</v>
      </c>
    </row>
    <row r="1195" spans="2:11" x14ac:dyDescent="0.35">
      <c r="B1195" s="5" t="str">
        <f t="shared" si="745"/>
        <v>SPS4</v>
      </c>
      <c r="C1195" s="5" t="str">
        <f t="shared" si="744"/>
        <v>CH</v>
      </c>
      <c r="D1195" t="s">
        <v>1298</v>
      </c>
      <c r="E1195" t="s">
        <v>8</v>
      </c>
      <c r="F1195" s="1" cm="1">
        <f t="array" ref="F1195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SUMPRODUCT(("T_C-MHY-DSL-S3"=[1]OUT_TransportEnergyCons!$A$3:$A$1000)*1,("Var_Fin"=[1]OUT_TransportEnergyCons!$B$3:$B$1000)*1,ISNUMBER(SEARCH("DSL",[1]OUT_TransportEnergyCons!$C$3:$C$1000))*1,[1]OUT_TransportEnergyCons!E$3:E$1000)</f>
        <v>4.0650345546641324E-4</v>
      </c>
      <c r="H1195" s="1" cm="1">
        <f t="array" ref="H1195">SUMPRODUCT(("T_C-MHY-DSL-S3"=[1]OUT_TransportEnergyCons!$A$3:$A$1000)*1,("Var_Fin"=[1]OUT_TransportEnergyCons!$B$3:$B$1000)*1,ISNUMBER(SEARCH("DSL",[1]OUT_TransportEnergyCons!$C$3:$C$1000))*1,[1]OUT_TransportEnergyCons!F$3:F$1000)</f>
        <v>1.7563190178996964E-3</v>
      </c>
      <c r="I1195" s="1" cm="1">
        <f t="array" ref="I1195">SUMPRODUCT(("T_C-MHY-DSL-S3"=[1]OUT_TransportEnergyCons!$A$3:$A$1000)*1,("Var_Fin"=[1]OUT_TransportEnergyCons!$B$3:$B$1000)*1,ISNUMBER(SEARCH("DSL",[1]OUT_TransportEnergyCons!$C$3:$C$1000))*1,[1]OUT_TransportEnergyCons!G$3:G$1000)</f>
        <v>6.8024219819697897E-3</v>
      </c>
      <c r="J1195" s="1" cm="1">
        <f t="array" ref="J1195">SUMPRODUCT(("T_C-MHY-DSL-S3"=[1]OUT_TransportEnergyCons!$A$3:$A$1000)*1,("Var_Fin"=[1]OUT_TransportEnergyCons!$B$3:$B$1000)*1,ISNUMBER(SEARCH("DSL",[1]OUT_TransportEnergyCons!$C$3:$C$1000))*1,[1]OUT_TransportEnergyCons!H$3:H$1000)</f>
        <v>1.1366775589648057</v>
      </c>
      <c r="K1195" s="1" cm="1">
        <f t="array" ref="K1195">SUMPRODUCT(("T_C-MHY-DSL-S3"=[1]OUT_TransportEnergyCons!$A$3:$A$1000)*1,("Var_Fin"=[1]OUT_TransportEnergyCons!$B$3:$B$1000)*1,ISNUMBER(SEARCH("DSL",[1]OUT_TransportEnergyCons!$C$3:$C$1000))*1,[1]OUT_TransportEnergyCons!I$3:I$1000)</f>
        <v>1.8480746362956224</v>
      </c>
    </row>
    <row r="1196" spans="2:11" x14ac:dyDescent="0.35">
      <c r="B1196" s="5" t="str">
        <f t="shared" si="745"/>
        <v>SPS4</v>
      </c>
      <c r="C1196" s="5" t="str">
        <f t="shared" si="744"/>
        <v>CH</v>
      </c>
      <c r="D1196" t="s">
        <v>1299</v>
      </c>
      <c r="E1196" t="s">
        <v>8</v>
      </c>
      <c r="F1196" s="1" cm="1">
        <f t="array" ref="F1196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SUMPRODUCT(("T_C-MHY-DSL-S4"=[1]OUT_TransportEnergyCons!$A$3:$A$1000)*1,("Var_Fin"=[1]OUT_TransportEnergyCons!$B$3:$B$1000)*1,ISNUMBER(SEARCH("DSL",[1]OUT_TransportEnergyCons!$C$3:$C$1000))*1,[1]OUT_TransportEnergyCons!E$3:E$1000)</f>
        <v>2.6699535463247992E-4</v>
      </c>
      <c r="H1196" s="1" cm="1">
        <f t="array" ref="H1196">SUMPRODUCT(("T_C-MHY-DSL-S4"=[1]OUT_TransportEnergyCons!$A$3:$A$1000)*1,("Var_Fin"=[1]OUT_TransportEnergyCons!$B$3:$B$1000)*1,ISNUMBER(SEARCH("DSL",[1]OUT_TransportEnergyCons!$C$3:$C$1000))*1,[1]OUT_TransportEnergyCons!F$3:F$1000)</f>
        <v>7.5861870932316213E-4</v>
      </c>
      <c r="I1196" s="1" cm="1">
        <f t="array" ref="I1196">SUMPRODUCT(("T_C-MHY-DSL-S4"=[1]OUT_TransportEnergyCons!$A$3:$A$1000)*1,("Var_Fin"=[1]OUT_TransportEnergyCons!$B$3:$B$1000)*1,ISNUMBER(SEARCH("DSL",[1]OUT_TransportEnergyCons!$C$3:$C$1000))*1,[1]OUT_TransportEnergyCons!G$3:G$1000)</f>
        <v>1.2804368151667286E-3</v>
      </c>
      <c r="J1196" s="1" cm="1">
        <f t="array" ref="J1196">SUMPRODUCT(("T_C-MHY-DSL-S4"=[1]OUT_TransportEnergyCons!$A$3:$A$1000)*1,("Var_Fin"=[1]OUT_TransportEnergyCons!$B$3:$B$1000)*1,ISNUMBER(SEARCH("DSL",[1]OUT_TransportEnergyCons!$C$3:$C$1000))*1,[1]OUT_TransportEnergyCons!H$3:H$1000)</f>
        <v>1.5772034121645769E-3</v>
      </c>
      <c r="K1196" s="1" cm="1">
        <f t="array" ref="K1196">SUMPRODUCT(("T_C-MHY-DSL-S4"=[1]OUT_TransportEnergyCons!$A$3:$A$1000)*1,("Var_Fin"=[1]OUT_TransportEnergyCons!$B$3:$B$1000)*1,ISNUMBER(SEARCH("DSL",[1]OUT_TransportEnergyCons!$C$3:$C$1000))*1,[1]OUT_TransportEnergyCons!I$3:I$1000)</f>
        <v>9.0352038472848062E-4</v>
      </c>
    </row>
    <row r="1197" spans="2:11" x14ac:dyDescent="0.35">
      <c r="B1197" s="5" t="str">
        <f t="shared" si="745"/>
        <v>SPS4</v>
      </c>
      <c r="C1197" s="5" t="str">
        <f t="shared" si="744"/>
        <v>CH</v>
      </c>
      <c r="D1197" t="s">
        <v>1300</v>
      </c>
      <c r="E1197" t="s">
        <v>8</v>
      </c>
      <c r="F1197" s="1" cm="1">
        <f t="array" ref="F1197">SUMPRODUCT(("T-Plg-DSL-mix_S1"=[1]OUT_TransportEnergyCons!$A$3:$A$1000)*1,("Var_Fin"=[1]OUT_TransportEnergyCons!$B$3:$B$1000)*1,ISNUMBER(SEARCH("DSL",[1]OUT_TransportEnergyCons!$C$3:$C$1000))*1,[1]OUT_TransportEnergyCons!D$3:D$1000)</f>
        <v>1.7619790210841842E-5</v>
      </c>
      <c r="G1197" s="1" cm="1">
        <f t="array" ref="G1197">SUMPRODUCT(("T-Plg-DSL-mix_S1"=[1]OUT_TransportEnergyCons!$A$3:$A$1000)*1,("Var_Fin"=[1]OUT_TransportEnergyCons!$B$3:$B$1000)*1,ISNUMBER(SEARCH("DSL",[1]OUT_TransportEnergyCons!$C$3:$C$1000))*1,[1]OUT_TransportEnergyCons!E$3:E$1000)</f>
        <v>6.3913271140795885E-4</v>
      </c>
      <c r="H1197" s="1" cm="1">
        <f t="array" ref="H1197">SUMPRODUCT(("T-Plg-DSL-mix_S1"=[1]OUT_TransportEnergyCons!$A$3:$A$1000)*1,("Var_Fin"=[1]OUT_TransportEnergyCons!$B$3:$B$1000)*1,ISNUMBER(SEARCH("DSL",[1]OUT_TransportEnergyCons!$C$3:$C$1000))*1,[1]OUT_TransportEnergyCons!F$3:F$1000)</f>
        <v>9.3313945453999845E-4</v>
      </c>
      <c r="I1197" s="1" cm="1">
        <f t="array" ref="I1197">SUMPRODUCT(("T-Plg-DSL-mix_S1"=[1]OUT_TransportEnergyCons!$A$3:$A$1000)*1,("Var_Fin"=[1]OUT_TransportEnergyCons!$B$3:$B$1000)*1,ISNUMBER(SEARCH("DSL",[1]OUT_TransportEnergyCons!$C$3:$C$1000))*1,[1]OUT_TransportEnergyCons!G$3:G$1000)</f>
        <v>9.3679069308761308E-4</v>
      </c>
      <c r="J1197" s="1" cm="1">
        <f t="array" ref="J1197">SUMPRODUCT(("T-Plg-DSL-mix_S1"=[1]OUT_TransportEnergyCons!$A$3:$A$1000)*1,("Var_Fin"=[1]OUT_TransportEnergyCons!$B$3:$B$1000)*1,ISNUMBER(SEARCH("DSL",[1]OUT_TransportEnergyCons!$C$3:$C$1000))*1,[1]OUT_TransportEnergyCons!H$3:H$1000)</f>
        <v>7.4740711398483997E-4</v>
      </c>
      <c r="K1197" s="1" cm="1">
        <f t="array" ref="K1197">SUMPRODUCT(("T-Plg-DSL-mix_S1"=[1]OUT_TransportEnergyCons!$A$3:$A$1000)*1,("Var_Fin"=[1]OUT_TransportEnergyCons!$B$3:$B$1000)*1,ISNUMBER(SEARCH("DSL",[1]OUT_TransportEnergyCons!$C$3:$C$1000))*1,[1]OUT_TransportEnergyCons!I$3:I$1000)</f>
        <v>3.9573220141084355E-4</v>
      </c>
    </row>
    <row r="1198" spans="2:11" x14ac:dyDescent="0.35">
      <c r="B1198" s="5" t="str">
        <f t="shared" si="745"/>
        <v>SPS4</v>
      </c>
      <c r="C1198" s="5" t="str">
        <f t="shared" si="744"/>
        <v>CH</v>
      </c>
      <c r="D1198" t="s">
        <v>1301</v>
      </c>
      <c r="E1198" t="s">
        <v>8</v>
      </c>
      <c r="F1198" s="1" cm="1">
        <f t="array" ref="F1198">SUMPRODUCT(("T-Plg-DSL-mix_S2"=[1]OUT_TransportEnergyCons!$A$3:$A$1000)*1,("Var_Fin"=[1]OUT_TransportEnergyCons!$B$3:$B$1000)*1,ISNUMBER(SEARCH("DSL",[1]OUT_TransportEnergyCons!$C$3:$C$1000))*1,[1]OUT_TransportEnergyCons!D$3:D$1000)</f>
        <v>1.4308214747028437E-5</v>
      </c>
      <c r="G1198" s="1" cm="1">
        <f t="array" ref="G1198">SUMPRODUCT(("T-Plg-DSL-mix_S2"=[1]OUT_TransportEnergyCons!$A$3:$A$1000)*1,("Var_Fin"=[1]OUT_TransportEnergyCons!$B$3:$B$1000)*1,ISNUMBER(SEARCH("DSL",[1]OUT_TransportEnergyCons!$C$3:$C$1000))*1,[1]OUT_TransportEnergyCons!E$3:E$1000)</f>
        <v>6.9745082070268719E-4</v>
      </c>
      <c r="H1198" s="1" cm="1">
        <f t="array" ref="H1198">SUMPRODUCT(("T-Plg-DSL-mix_S2"=[1]OUT_TransportEnergyCons!$A$3:$A$1000)*1,("Var_Fin"=[1]OUT_TransportEnergyCons!$B$3:$B$1000)*1,ISNUMBER(SEARCH("DSL",[1]OUT_TransportEnergyCons!$C$3:$C$1000))*1,[1]OUT_TransportEnergyCons!F$3:F$1000)</f>
        <v>2.6766453794392717E-3</v>
      </c>
      <c r="I1198" s="1" cm="1">
        <f t="array" ref="I1198">SUMPRODUCT(("T-Plg-DSL-mix_S2"=[1]OUT_TransportEnergyCons!$A$3:$A$1000)*1,("Var_Fin"=[1]OUT_TransportEnergyCons!$B$3:$B$1000)*1,ISNUMBER(SEARCH("DSL",[1]OUT_TransportEnergyCons!$C$3:$C$1000))*1,[1]OUT_TransportEnergyCons!G$3:G$1000)</f>
        <v>3.6648624240344916E-3</v>
      </c>
      <c r="J1198" s="1" cm="1">
        <f t="array" ref="J1198">SUMPRODUCT(("T-Plg-DSL-mix_S2"=[1]OUT_TransportEnergyCons!$A$3:$A$1000)*1,("Var_Fin"=[1]OUT_TransportEnergyCons!$B$3:$B$1000)*1,ISNUMBER(SEARCH("DSL",[1]OUT_TransportEnergyCons!$C$3:$C$1000))*1,[1]OUT_TransportEnergyCons!H$3:H$1000)</f>
        <v>3.3139719929207207E-3</v>
      </c>
      <c r="K1198" s="1" cm="1">
        <f t="array" ref="K1198">SUMPRODUCT(("T-Plg-DSL-mix_S2"=[1]OUT_TransportEnergyCons!$A$3:$A$1000)*1,("Var_Fin"=[1]OUT_TransportEnergyCons!$B$3:$B$1000)*1,ISNUMBER(SEARCH("DSL",[1]OUT_TransportEnergyCons!$C$3:$C$1000))*1,[1]OUT_TransportEnergyCons!I$3:I$1000)</f>
        <v>1.6089639803697601E-3</v>
      </c>
    </row>
    <row r="1199" spans="2:11" x14ac:dyDescent="0.35">
      <c r="B1199" s="5" t="str">
        <f t="shared" si="745"/>
        <v>SPS4</v>
      </c>
      <c r="C1199" s="5" t="str">
        <f t="shared" si="744"/>
        <v>CH</v>
      </c>
      <c r="D1199" t="s">
        <v>1302</v>
      </c>
      <c r="E1199" t="s">
        <v>8</v>
      </c>
      <c r="F1199" s="1" cm="1">
        <f t="array" ref="F1199">SUMPRODUCT(("T-Plg-DSL-mix_S3"=[1]OUT_TransportEnergyCons!$A$3:$A$1000)*1,("Var_Fin"=[1]OUT_TransportEnergyCons!$B$3:$B$1000)*1,ISNUMBER(SEARCH("DSL",[1]OUT_TransportEnergyCons!$C$3:$C$1000))*1,[1]OUT_TransportEnergyCons!D$3:D$1000)</f>
        <v>1.1200184596300349E-4</v>
      </c>
      <c r="G1199" s="1" cm="1">
        <f t="array" ref="G1199">SUMPRODUCT(("T-Plg-DSL-mix_S3"=[1]OUT_TransportEnergyCons!$A$3:$A$1000)*1,("Var_Fin"=[1]OUT_TransportEnergyCons!$B$3:$B$1000)*1,ISNUMBER(SEARCH("DSL",[1]OUT_TransportEnergyCons!$C$3:$C$1000))*1,[1]OUT_TransportEnergyCons!E$3:E$1000)</f>
        <v>1.3512670758806536E-2</v>
      </c>
      <c r="H1199" s="1" cm="1">
        <f t="array" ref="H1199">SUMPRODUCT(("T-Plg-DSL-mix_S3"=[1]OUT_TransportEnergyCons!$A$3:$A$1000)*1,("Var_Fin"=[1]OUT_TransportEnergyCons!$B$3:$B$1000)*1,ISNUMBER(SEARCH("DSL",[1]OUT_TransportEnergyCons!$C$3:$C$1000))*1,[1]OUT_TransportEnergyCons!F$3:F$1000)</f>
        <v>1.4481747195329882</v>
      </c>
      <c r="I1199" s="1" cm="1">
        <f t="array" ref="I1199">SUMPRODUCT(("T-Plg-DSL-mix_S3"=[1]OUT_TransportEnergyCons!$A$3:$A$1000)*1,("Var_Fin"=[1]OUT_TransportEnergyCons!$B$3:$B$1000)*1,ISNUMBER(SEARCH("DSL",[1]OUT_TransportEnergyCons!$C$3:$C$1000))*1,[1]OUT_TransportEnergyCons!G$3:G$1000)</f>
        <v>6.3071049832254724</v>
      </c>
      <c r="J1199" s="1" cm="1">
        <f t="array" ref="J1199">SUMPRODUCT(("T-Plg-DSL-mix_S3"=[1]OUT_TransportEnergyCons!$A$3:$A$1000)*1,("Var_Fin"=[1]OUT_TransportEnergyCons!$B$3:$B$1000)*1,ISNUMBER(SEARCH("DSL",[1]OUT_TransportEnergyCons!$C$3:$C$1000))*1,[1]OUT_TransportEnergyCons!H$3:H$1000)</f>
        <v>11.125105600238802</v>
      </c>
      <c r="K1199" s="1" cm="1">
        <f t="array" ref="K1199">SUMPRODUCT(("T-Plg-DSL-mix_S3"=[1]OUT_TransportEnergyCons!$A$3:$A$1000)*1,("Var_Fin"=[1]OUT_TransportEnergyCons!$B$3:$B$1000)*1,ISNUMBER(SEARCH("DSL",[1]OUT_TransportEnergyCons!$C$3:$C$1000))*1,[1]OUT_TransportEnergyCons!I$3:I$1000)</f>
        <v>8.0004872285825321</v>
      </c>
    </row>
    <row r="1200" spans="2:11" x14ac:dyDescent="0.35">
      <c r="B1200" s="5" t="str">
        <f t="shared" si="745"/>
        <v>SPS4</v>
      </c>
      <c r="C1200" s="5" t="str">
        <f t="shared" si="744"/>
        <v>CH</v>
      </c>
      <c r="D1200" t="s">
        <v>1303</v>
      </c>
      <c r="E1200" t="s">
        <v>8</v>
      </c>
      <c r="F1200" s="1" cm="1">
        <f t="array" ref="F1200">SUMPRODUCT(("T-Plg-DSL-mix_S4"=[1]OUT_TransportEnergyCons!$A$3:$A$1000)*1,("Var_Fin"=[1]OUT_TransportEnergyCons!$B$3:$B$1000)*1,ISNUMBER(SEARCH("DSL",[1]OUT_TransportEnergyCons!$C$3:$C$1000))*1,[1]OUT_TransportEnergyCons!D$3:D$1000)</f>
        <v>5.6919085366761652E-3</v>
      </c>
      <c r="G1200" s="1" cm="1">
        <f t="array" ref="G1200">SUMPRODUCT(("T-Plg-DSL-mix_S4"=[1]OUT_TransportEnergyCons!$A$3:$A$1000)*1,("Var_Fin"=[1]OUT_TransportEnergyCons!$B$3:$B$1000)*1,ISNUMBER(SEARCH("DSL",[1]OUT_TransportEnergyCons!$C$3:$C$1000))*1,[1]OUT_TransportEnergyCons!E$3:E$1000)</f>
        <v>1.8664174605167512E-2</v>
      </c>
      <c r="H1200" s="1" cm="1">
        <f t="array" ref="H1200">SUMPRODUCT(("T-Plg-DSL-mix_S4"=[1]OUT_TransportEnergyCons!$A$3:$A$1000)*1,("Var_Fin"=[1]OUT_TransportEnergyCons!$B$3:$B$1000)*1,ISNUMBER(SEARCH("DSL",[1]OUT_TransportEnergyCons!$C$3:$C$1000))*1,[1]OUT_TransportEnergyCons!F$3:F$1000)</f>
        <v>2.0381364989716141E-2</v>
      </c>
      <c r="I1200" s="1" cm="1">
        <f t="array" ref="I1200">SUMPRODUCT(("T-Plg-DSL-mix_S4"=[1]OUT_TransportEnergyCons!$A$3:$A$1000)*1,("Var_Fin"=[1]OUT_TransportEnergyCons!$B$3:$B$1000)*1,ISNUMBER(SEARCH("DSL",[1]OUT_TransportEnergyCons!$C$3:$C$1000))*1,[1]OUT_TransportEnergyCons!G$3:G$1000)</f>
        <v>1.8833727632750239E-2</v>
      </c>
      <c r="J1200" s="1" cm="1">
        <f t="array" ref="J1200">SUMPRODUCT(("T-Plg-DSL-mix_S4"=[1]OUT_TransportEnergyCons!$A$3:$A$1000)*1,("Var_Fin"=[1]OUT_TransportEnergyCons!$B$3:$B$1000)*1,ISNUMBER(SEARCH("DSL",[1]OUT_TransportEnergyCons!$C$3:$C$1000))*1,[1]OUT_TransportEnergyCons!H$3:H$1000)</f>
        <v>5.283902232630899E-3</v>
      </c>
      <c r="K1200" s="1" cm="1">
        <f t="array" ref="K1200">SUMPRODUCT(("T-Plg-DSL-mix_S4"=[1]OUT_TransportEnergyCons!$A$3:$A$1000)*1,("Var_Fin"=[1]OUT_TransportEnergyCons!$B$3:$B$1000)*1,ISNUMBER(SEARCH("DSL",[1]OUT_TransportEnergyCons!$C$3:$C$1000))*1,[1]OUT_TransportEnergyCons!I$3:I$1000)</f>
        <v>2.6983165234646888E-3</v>
      </c>
    </row>
    <row r="1201" spans="2:11" x14ac:dyDescent="0.35">
      <c r="B1201" s="5" t="str">
        <f t="shared" si="745"/>
        <v>SPS4</v>
      </c>
      <c r="C1201" s="5" t="str">
        <f t="shared" si="744"/>
        <v>CH</v>
      </c>
      <c r="D1201" t="s">
        <v>1304</v>
      </c>
      <c r="E1201" t="s">
        <v>8</v>
      </c>
      <c r="F1201" s="1">
        <f>SUM(F1206:F1210)</f>
        <v>0.11207639219169695</v>
      </c>
      <c r="G1201" s="1">
        <f t="shared" ref="G1201:K1201" si="764">SUM(G1206:G1210)</f>
        <v>9.6229176093404867E-2</v>
      </c>
      <c r="H1201" s="1">
        <f t="shared" si="764"/>
        <v>0.10893992630689882</v>
      </c>
      <c r="I1201" s="1">
        <f t="shared" si="764"/>
        <v>1.032082000774825E-3</v>
      </c>
      <c r="J1201" s="1">
        <f t="shared" si="764"/>
        <v>8.2158937757989547E-4</v>
      </c>
      <c r="K1201" s="1">
        <f t="shared" si="764"/>
        <v>6.0369733112144693E-4</v>
      </c>
    </row>
    <row r="1202" spans="2:11" x14ac:dyDescent="0.35">
      <c r="B1202" s="5" t="str">
        <f t="shared" si="745"/>
        <v>SPS4</v>
      </c>
      <c r="C1202" s="5" t="str">
        <f t="shared" si="744"/>
        <v>CH</v>
      </c>
      <c r="D1202" t="s">
        <v>1336</v>
      </c>
      <c r="E1202" t="s">
        <v>8</v>
      </c>
      <c r="F1202" s="1">
        <f>F1201-F1203</f>
        <v>0.10370045327275264</v>
      </c>
      <c r="G1202" s="1">
        <f t="shared" ref="G1202:K1202" si="765">G1201-G1203</f>
        <v>8.6875869602542705E-2</v>
      </c>
      <c r="H1202" s="1">
        <f t="shared" si="765"/>
        <v>9.8560579018141706E-2</v>
      </c>
      <c r="I1202" s="1">
        <f t="shared" si="765"/>
        <v>9.8610160787109121E-4</v>
      </c>
      <c r="J1202" s="1">
        <f t="shared" si="765"/>
        <v>-3.5439002104483898E-2</v>
      </c>
      <c r="K1202" s="1">
        <f t="shared" si="765"/>
        <v>-7.7639200746766585E-2</v>
      </c>
    </row>
    <row r="1203" spans="2:11" x14ac:dyDescent="0.35">
      <c r="B1203" s="5" t="str">
        <f t="shared" si="745"/>
        <v>SPS4</v>
      </c>
      <c r="C1203" s="5" t="str">
        <f t="shared" si="744"/>
        <v>CH</v>
      </c>
      <c r="D1203" t="s">
        <v>1337</v>
      </c>
      <c r="E1203" t="s">
        <v>8</v>
      </c>
      <c r="F1203" s="1">
        <f>SUM(F1204:F1205)</f>
        <v>8.3759389189443055E-3</v>
      </c>
      <c r="G1203" s="1">
        <f t="shared" ref="G1203" si="766">SUM(G1204:G1205)</f>
        <v>9.3533064908621621E-3</v>
      </c>
      <c r="H1203" s="1">
        <f t="shared" ref="H1203" si="767">SUM(H1204:H1205)</f>
        <v>1.0379347288757107E-2</v>
      </c>
      <c r="I1203" s="1">
        <f t="shared" ref="I1203" si="768">SUM(I1204:I1205)</f>
        <v>4.5980392903733844E-5</v>
      </c>
      <c r="J1203" s="1">
        <f t="shared" ref="J1203" si="769">SUM(J1204:J1205)</f>
        <v>3.6260591482063793E-2</v>
      </c>
      <c r="K1203" s="1">
        <f t="shared" ref="K1203" si="770">SUM(K1204:K1205)</f>
        <v>7.8242898077888035E-2</v>
      </c>
    </row>
    <row r="1204" spans="2:11" x14ac:dyDescent="0.35">
      <c r="B1204" s="5" t="str">
        <f t="shared" ref="B1204:B1267" si="771">B1203</f>
        <v>SPS4</v>
      </c>
      <c r="C1204" s="5" t="str">
        <f t="shared" si="744"/>
        <v>CH</v>
      </c>
      <c r="D1204" t="s">
        <v>1338</v>
      </c>
      <c r="E1204" t="s">
        <v>8</v>
      </c>
      <c r="F1204" s="1">
        <f>[1]Transport!B$27/SUM([1]Transport!B$24,[1]Transport!B$27)*F1201*(F$45+F$612)/(F$45+F$612+F$47)</f>
        <v>8.3759389189443055E-3</v>
      </c>
      <c r="G1204" s="1">
        <f>[1]Transport!C$27/SUM([1]Transport!C$24,[1]Transport!C$27)*G1201*(G$45+G$612)/(G$45+G$612+G$47)</f>
        <v>9.3533064908621621E-3</v>
      </c>
      <c r="H1204" s="1">
        <f>[1]Transport!D$27/SUM([1]Transport!D$24,[1]Transport!D$27)*H1201*(H$45+H$612)/(H$45+H$612+H$47)</f>
        <v>1.0379347288757107E-2</v>
      </c>
      <c r="I1204" s="1">
        <f>[1]Transport!E$27/SUM([1]Transport!E$24,[1]Transport!E$27)*I1201*(I$45+I$612)/(I$45+I$612+I$47)</f>
        <v>4.5980392903733844E-5</v>
      </c>
      <c r="J1204" s="1">
        <f>[1]Transport!F$27/SUM([1]Transport!F$24,[1]Transport!F$27)*J1201*(J$45+J$612)/(J$45+J$612+J$47)</f>
        <v>1.4715996393165405E-5</v>
      </c>
      <c r="K1204" s="1">
        <f>[1]Transport!G$27/SUM([1]Transport!G$24,[1]Transport!G$27)*K1201*(K$45+K$612)/(K$45+K$612+K$47)</f>
        <v>9.0924749786553658E-6</v>
      </c>
    </row>
    <row r="1205" spans="2:11" x14ac:dyDescent="0.35">
      <c r="B1205" s="5" t="str">
        <f t="shared" si="771"/>
        <v>SPS4</v>
      </c>
      <c r="C1205" s="5" t="str">
        <f t="shared" si="744"/>
        <v>CH</v>
      </c>
      <c r="D1205" t="s">
        <v>1339</v>
      </c>
      <c r="E1205" t="s">
        <v>8</v>
      </c>
      <c r="F1205" s="1">
        <f>(F$47+F$714)/([1]Transport!B$24+[1]Transport!B$27)*F1201</f>
        <v>0</v>
      </c>
      <c r="G1205" s="1">
        <f>(G$47+G$714)/([1]Transport!C$24+[1]Transport!C$27)*G1201</f>
        <v>0</v>
      </c>
      <c r="H1205" s="1">
        <f>(H$47+H$714)/([1]Transport!D$24+[1]Transport!D$27)*H1201</f>
        <v>0</v>
      </c>
      <c r="I1205" s="1">
        <f>(I$47+I$714)/([1]Transport!E$24+[1]Transport!E$27)*I1201</f>
        <v>0</v>
      </c>
      <c r="J1205" s="1">
        <f>(J$47+J$714)/([1]Transport!F$24+[1]Transport!F$27)*J1201</f>
        <v>3.6245875485670626E-2</v>
      </c>
      <c r="K1205" s="1">
        <f>(K$47+K$714)/([1]Transport!G$24+[1]Transport!G$27)*K1201</f>
        <v>7.8233805602909379E-2</v>
      </c>
    </row>
    <row r="1206" spans="2:11" x14ac:dyDescent="0.35">
      <c r="B1206" s="5" t="str">
        <f t="shared" si="771"/>
        <v>SPS4</v>
      </c>
      <c r="C1206" s="5" t="str">
        <f>C1201</f>
        <v>CH</v>
      </c>
      <c r="D1206" t="s">
        <v>1331</v>
      </c>
      <c r="E1206" t="s">
        <v>8</v>
      </c>
      <c r="F1206" s="1" cm="1">
        <f t="array" ref="F1206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6" s="1" cm="1">
        <f t="array" ref="G1206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6" s="1" cm="1">
        <f t="array" ref="H1206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6" s="1" cm="1">
        <f t="array" ref="I1206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6" s="1" cm="1">
        <f t="array" ref="J1206">SUMPRODUCT(("T_C-ICENGAEXT"=[1]OUT_TransportEnergyCons!$A$3:$A$1000)*1,("Var_Fin"=[1]OUT_TransportEnergyCons!$B$3:$B$1000)*1,ISNUMBER(SEARCH("NGA",[1]OUT_TransportEnergyCons!$C$3:$C$1000))*1,[1]OUT_TransportEnergyCons!H$3:H$1000)</f>
        <v>0</v>
      </c>
      <c r="K1206" s="1" cm="1">
        <f t="array" ref="K1206">SUMPRODUCT(("T_C-ICENGAEXT"=[1]OUT_TransportEnergyCons!$A$3:$A$1000)*1,("Var_Fin"=[1]OUT_TransportEnergyCons!$B$3:$B$1000)*1,ISNUMBER(SEARCH("NGA",[1]OUT_TransportEnergyCons!$C$3:$C$1000))*1,[1]OUT_TransportEnergyCons!I$3:I$1000)</f>
        <v>0</v>
      </c>
    </row>
    <row r="1207" spans="2:11" x14ac:dyDescent="0.35">
      <c r="B1207" s="5" t="str">
        <f t="shared" si="771"/>
        <v>SPS4</v>
      </c>
      <c r="C1207" s="5" t="str">
        <f t="shared" si="744"/>
        <v>CH</v>
      </c>
      <c r="D1207" t="s">
        <v>1332</v>
      </c>
      <c r="E1207" t="s">
        <v>8</v>
      </c>
      <c r="F1207" s="1" cm="1">
        <f t="array" ref="F1207">SUMPRODUCT(("T_C-ICE-NGA-S1"=[1]OUT_TransportEnergyCons!$A$3:$A$1000)*1,("Var_Fin"=[1]OUT_TransportEnergyCons!$B$3:$B$1000)*1,ISNUMBER(SEARCH("NGA",[1]OUT_TransportEnergyCons!$C$3:$C$1000))*1,[1]OUT_TransportEnergyCons!D$3:D$1000)</f>
        <v>3.6010094752242251E-3</v>
      </c>
      <c r="G1207" s="1" cm="1">
        <f t="array" ref="G1207">SUMPRODUCT(("T_C-ICE-NGA-S1"=[1]OUT_TransportEnergyCons!$A$3:$A$1000)*1,("Var_Fin"=[1]OUT_TransportEnergyCons!$B$3:$B$1000)*1,ISNUMBER(SEARCH("NGA",[1]OUT_TransportEnergyCons!$C$3:$C$1000))*1,[1]OUT_TransportEnergyCons!E$3:E$1000)</f>
        <v>2.9090458414015603E-3</v>
      </c>
      <c r="H1207" s="1" cm="1">
        <f t="array" ref="H1207">SUMPRODUCT(("T_C-ICE-NGA-S1"=[1]OUT_TransportEnergyCons!$A$3:$A$1000)*1,("Var_Fin"=[1]OUT_TransportEnergyCons!$B$3:$B$1000)*1,ISNUMBER(SEARCH("NGA",[1]OUT_TransportEnergyCons!$C$3:$C$1000))*1,[1]OUT_TransportEnergyCons!F$3:F$1000)</f>
        <v>2.9226919621974444E-3</v>
      </c>
      <c r="I1207" s="1" cm="1">
        <f t="array" ref="I1207">SUMPRODUCT(("T_C-ICE-NGA-S1"=[1]OUT_TransportEnergyCons!$A$3:$A$1000)*1,("Var_Fin"=[1]OUT_TransportEnergyCons!$B$3:$B$1000)*1,ISNUMBER(SEARCH("NGA",[1]OUT_TransportEnergyCons!$C$3:$C$1000))*1,[1]OUT_TransportEnergyCons!G$3:G$1000)</f>
        <v>1.599338090887583E-4</v>
      </c>
      <c r="J1207" s="1" cm="1">
        <f t="array" ref="J1207">SUMPRODUCT(("T_C-ICE-NGA-S1"=[1]OUT_TransportEnergyCons!$A$3:$A$1000)*1,("Var_Fin"=[1]OUT_TransportEnergyCons!$B$3:$B$1000)*1,ISNUMBER(SEARCH("NGA",[1]OUT_TransportEnergyCons!$C$3:$C$1000))*1,[1]OUT_TransportEnergyCons!H$3:H$1000)</f>
        <v>7.3827307668278966E-5</v>
      </c>
      <c r="K1207" s="1" cm="1">
        <f t="array" ref="K1207">SUMPRODUCT(("T_C-ICE-NGA-S1"=[1]OUT_TransportEnergyCons!$A$3:$A$1000)*1,("Var_Fin"=[1]OUT_TransportEnergyCons!$B$3:$B$1000)*1,ISNUMBER(SEARCH("NGA",[1]OUT_TransportEnergyCons!$C$3:$C$1000))*1,[1]OUT_TransportEnergyCons!I$3:I$1000)</f>
        <v>4.1491615711226063E-5</v>
      </c>
    </row>
    <row r="1208" spans="2:11" x14ac:dyDescent="0.35">
      <c r="B1208" s="5" t="str">
        <f t="shared" si="771"/>
        <v>SPS4</v>
      </c>
      <c r="C1208" s="5" t="str">
        <f t="shared" si="744"/>
        <v>CH</v>
      </c>
      <c r="D1208" t="s">
        <v>1333</v>
      </c>
      <c r="E1208" t="s">
        <v>8</v>
      </c>
      <c r="F1208" s="1" cm="1">
        <f t="array" ref="F1208">SUMPRODUCT(("T_C-ICE-NGA-S2"=[1]OUT_TransportEnergyCons!$A$3:$A$1000)*1,("Var_Fin"=[1]OUT_TransportEnergyCons!$B$3:$B$1000)*1,ISNUMBER(SEARCH("NGA",[1]OUT_TransportEnergyCons!$C$3:$C$1000))*1,[1]OUT_TransportEnergyCons!D$3:D$1000)</f>
        <v>5.5882476848536589E-2</v>
      </c>
      <c r="G1208" s="1" cm="1">
        <f t="array" ref="G1208">SUMPRODUCT(("T_C-ICE-NGA-S2"=[1]OUT_TransportEnergyCons!$A$3:$A$1000)*1,("Var_Fin"=[1]OUT_TransportEnergyCons!$B$3:$B$1000)*1,ISNUMBER(SEARCH("NGA",[1]OUT_TransportEnergyCons!$C$3:$C$1000))*1,[1]OUT_TransportEnergyCons!E$3:E$1000)</f>
        <v>4.2335313392596795E-2</v>
      </c>
      <c r="H1208" s="1" cm="1">
        <f t="array" ref="H1208">SUMPRODUCT(("T_C-ICE-NGA-S2"=[1]OUT_TransportEnergyCons!$A$3:$A$1000)*1,("Var_Fin"=[1]OUT_TransportEnergyCons!$B$3:$B$1000)*1,ISNUMBER(SEARCH("NGA",[1]OUT_TransportEnergyCons!$C$3:$C$1000))*1,[1]OUT_TransportEnergyCons!F$3:F$1000)</f>
        <v>5.7283477380384244E-2</v>
      </c>
      <c r="I1208" s="1" cm="1">
        <f t="array" ref="I1208">SUMPRODUCT(("T_C-ICE-NGA-S2"=[1]OUT_TransportEnergyCons!$A$3:$A$1000)*1,("Var_Fin"=[1]OUT_TransportEnergyCons!$B$3:$B$1000)*1,ISNUMBER(SEARCH("NGA",[1]OUT_TransportEnergyCons!$C$3:$C$1000))*1,[1]OUT_TransportEnergyCons!G$3:G$1000)</f>
        <v>1.8336768087403408E-4</v>
      </c>
      <c r="J1208" s="1" cm="1">
        <f t="array" ref="J1208">SUMPRODUCT(("T_C-ICE-NGA-S2"=[1]OUT_TransportEnergyCons!$A$3:$A$1000)*1,("Var_Fin"=[1]OUT_TransportEnergyCons!$B$3:$B$1000)*1,ISNUMBER(SEARCH("NGA",[1]OUT_TransportEnergyCons!$C$3:$C$1000))*1,[1]OUT_TransportEnergyCons!H$3:H$1000)</f>
        <v>1.7653738526418874E-4</v>
      </c>
      <c r="K1208" s="1" cm="1">
        <f t="array" ref="K1208">SUMPRODUCT(("T_C-ICE-NGA-S2"=[1]OUT_TransportEnergyCons!$A$3:$A$1000)*1,("Var_Fin"=[1]OUT_TransportEnergyCons!$B$3:$B$1000)*1,ISNUMBER(SEARCH("NGA",[1]OUT_TransportEnergyCons!$C$3:$C$1000))*1,[1]OUT_TransportEnergyCons!I$3:I$1000)</f>
        <v>9.8506272929061304E-5</v>
      </c>
    </row>
    <row r="1209" spans="2:11" x14ac:dyDescent="0.35">
      <c r="B1209" s="5" t="str">
        <f t="shared" si="771"/>
        <v>SPS4</v>
      </c>
      <c r="C1209" s="5" t="str">
        <f t="shared" si="744"/>
        <v>CH</v>
      </c>
      <c r="D1209" t="s">
        <v>1334</v>
      </c>
      <c r="E1209" t="s">
        <v>8</v>
      </c>
      <c r="F1209" s="1" cm="1">
        <f t="array" ref="F1209">SUMPRODUCT(("T_C-ICE-NGA-S3"=[1]OUT_TransportEnergyCons!$A$3:$A$1000)*1,("Var_Fin"=[1]OUT_TransportEnergyCons!$B$3:$B$1000)*1,ISNUMBER(SEARCH("NGA",[1]OUT_TransportEnergyCons!$C$3:$C$1000))*1,[1]OUT_TransportEnergyCons!D$3:D$1000)</f>
        <v>4.3384554677155752E-3</v>
      </c>
      <c r="G1209" s="1" cm="1">
        <f t="array" ref="G1209">SUMPRODUCT(("T_C-ICE-NGA-S3"=[1]OUT_TransportEnergyCons!$A$3:$A$1000)*1,("Var_Fin"=[1]OUT_TransportEnergyCons!$B$3:$B$1000)*1,ISNUMBER(SEARCH("NGA",[1]OUT_TransportEnergyCons!$C$3:$C$1000))*1,[1]OUT_TransportEnergyCons!E$3:E$1000)</f>
        <v>3.8302108554586398E-3</v>
      </c>
      <c r="H1209" s="1" cm="1">
        <f t="array" ref="H1209">SUMPRODUCT(("T_C-ICE-NGA-S3"=[1]OUT_TransportEnergyCons!$A$3:$A$1000)*1,("Var_Fin"=[1]OUT_TransportEnergyCons!$B$3:$B$1000)*1,ISNUMBER(SEARCH("NGA",[1]OUT_TransportEnergyCons!$C$3:$C$1000))*1,[1]OUT_TransportEnergyCons!F$3:F$1000)</f>
        <v>4.8397421182246403E-3</v>
      </c>
      <c r="I1209" s="1" cm="1">
        <f t="array" ref="I1209">SUMPRODUCT(("T_C-ICE-NGA-S3"=[1]OUT_TransportEnergyCons!$A$3:$A$1000)*1,("Var_Fin"=[1]OUT_TransportEnergyCons!$B$3:$B$1000)*1,ISNUMBER(SEARCH("NGA",[1]OUT_TransportEnergyCons!$C$3:$C$1000))*1,[1]OUT_TransportEnergyCons!G$3:G$1000)</f>
        <v>5.6312683144541518E-4</v>
      </c>
      <c r="J1209" s="1" cm="1">
        <f t="array" ref="J1209">SUMPRODUCT(("T_C-ICE-NGA-S3"=[1]OUT_TransportEnergyCons!$A$3:$A$1000)*1,("Var_Fin"=[1]OUT_TransportEnergyCons!$B$3:$B$1000)*1,ISNUMBER(SEARCH("NGA",[1]OUT_TransportEnergyCons!$C$3:$C$1000))*1,[1]OUT_TransportEnergyCons!H$3:H$1000)</f>
        <v>2.9199106139473561E-4</v>
      </c>
      <c r="K1209" s="1" cm="1">
        <f t="array" ref="K1209">SUMPRODUCT(("T_C-ICE-NGA-S3"=[1]OUT_TransportEnergyCons!$A$3:$A$1000)*1,("Var_Fin"=[1]OUT_TransportEnergyCons!$B$3:$B$1000)*1,ISNUMBER(SEARCH("NGA",[1]OUT_TransportEnergyCons!$C$3:$C$1000))*1,[1]OUT_TransportEnergyCons!I$3:I$1000)</f>
        <v>2.0216672150795851E-4</v>
      </c>
    </row>
    <row r="1210" spans="2:11" x14ac:dyDescent="0.35">
      <c r="B1210" s="5" t="str">
        <f t="shared" si="771"/>
        <v>SPS4</v>
      </c>
      <c r="C1210" s="5" t="str">
        <f t="shared" si="744"/>
        <v>CH</v>
      </c>
      <c r="D1210" t="s">
        <v>1335</v>
      </c>
      <c r="E1210" t="s">
        <v>8</v>
      </c>
      <c r="F1210" s="1" cm="1">
        <f t="array" ref="F1210">SUMPRODUCT(("T_C-ICE-NGA-S4"=[1]OUT_TransportEnergyCons!$A$3:$A$1000)*1,("Var_Fin"=[1]OUT_TransportEnergyCons!$B$3:$B$1000)*1,ISNUMBER(SEARCH("NGA",[1]OUT_TransportEnergyCons!$C$3:$C$1000))*1,[1]OUT_TransportEnergyCons!D$3:D$1000)</f>
        <v>4.8254450400220555E-2</v>
      </c>
      <c r="G1210" s="1" cm="1">
        <f t="array" ref="G1210">SUMPRODUCT(("T_C-ICE-NGA-S4"=[1]OUT_TransportEnergyCons!$A$3:$A$1000)*1,("Var_Fin"=[1]OUT_TransportEnergyCons!$B$3:$B$1000)*1,ISNUMBER(SEARCH("NGA",[1]OUT_TransportEnergyCons!$C$3:$C$1000))*1,[1]OUT_TransportEnergyCons!E$3:E$1000)</f>
        <v>4.7154606003947865E-2</v>
      </c>
      <c r="H1210" s="1" cm="1">
        <f t="array" ref="H1210">SUMPRODUCT(("T_C-ICE-NGA-S4"=[1]OUT_TransportEnergyCons!$A$3:$A$1000)*1,("Var_Fin"=[1]OUT_TransportEnergyCons!$B$3:$B$1000)*1,ISNUMBER(SEARCH("NGA",[1]OUT_TransportEnergyCons!$C$3:$C$1000))*1,[1]OUT_TransportEnergyCons!F$3:F$1000)</f>
        <v>4.3894014846092483E-2</v>
      </c>
      <c r="I1210" s="1" cm="1">
        <f t="array" ref="I1210">SUMPRODUCT(("T_C-ICE-NGA-S4"=[1]OUT_TransportEnergyCons!$A$3:$A$1000)*1,("Var_Fin"=[1]OUT_TransportEnergyCons!$B$3:$B$1000)*1,ISNUMBER(SEARCH("NGA",[1]OUT_TransportEnergyCons!$C$3:$C$1000))*1,[1]OUT_TransportEnergyCons!G$3:G$1000)</f>
        <v>1.2565367936661736E-4</v>
      </c>
      <c r="J1210" s="1" cm="1">
        <f t="array" ref="J1210">SUMPRODUCT(("T_C-ICE-NGA-S4"=[1]OUT_TransportEnergyCons!$A$3:$A$1000)*1,("Var_Fin"=[1]OUT_TransportEnergyCons!$B$3:$B$1000)*1,ISNUMBER(SEARCH("NGA",[1]OUT_TransportEnergyCons!$C$3:$C$1000))*1,[1]OUT_TransportEnergyCons!H$3:H$1000)</f>
        <v>2.7923362325269212E-4</v>
      </c>
      <c r="K1210" s="1" cm="1">
        <f t="array" ref="K1210">SUMPRODUCT(("T_C-ICE-NGA-S4"=[1]OUT_TransportEnergyCons!$A$3:$A$1000)*1,("Var_Fin"=[1]OUT_TransportEnergyCons!$B$3:$B$1000)*1,ISNUMBER(SEARCH("NGA",[1]OUT_TransportEnergyCons!$C$3:$C$1000))*1,[1]OUT_TransportEnergyCons!I$3:I$1000)</f>
        <v>2.6153272097320098E-4</v>
      </c>
    </row>
    <row r="1211" spans="2:11" x14ac:dyDescent="0.35">
      <c r="B1211" s="5" t="str">
        <f t="shared" si="771"/>
        <v>SPS4</v>
      </c>
      <c r="C1211" s="5" t="str">
        <f t="shared" si="744"/>
        <v>CH</v>
      </c>
      <c r="D1211" s="2" t="s">
        <v>1133</v>
      </c>
      <c r="E1211" s="2" t="s">
        <v>1132</v>
      </c>
      <c r="F1211" s="3">
        <f>SUM(F1212:F1261)</f>
        <v>49.003376482442064</v>
      </c>
      <c r="G1211" s="3">
        <f t="shared" ref="G1211:K1211" si="772">SUM(G1212:G1261)</f>
        <v>55.671299105056583</v>
      </c>
      <c r="H1211" s="3">
        <f t="shared" si="772"/>
        <v>58.440242331093231</v>
      </c>
      <c r="I1211" s="3">
        <f t="shared" si="772"/>
        <v>62.339479358933801</v>
      </c>
      <c r="J1211" s="3">
        <f t="shared" si="772"/>
        <v>62.344604002374297</v>
      </c>
      <c r="K1211" s="3">
        <f t="shared" si="772"/>
        <v>61.150586467748333</v>
      </c>
    </row>
    <row r="1212" spans="2:11" x14ac:dyDescent="0.35">
      <c r="B1212" s="5" t="str">
        <f t="shared" si="771"/>
        <v>SPS4</v>
      </c>
      <c r="C1212" s="5" t="str">
        <f>C1211</f>
        <v>CH</v>
      </c>
      <c r="D1212" t="s">
        <v>1134</v>
      </c>
      <c r="E1212" t="str">
        <f>E1211</f>
        <v>billion km/yr.</v>
      </c>
      <c r="F1212" s="1" cm="1">
        <f t="array" ref="F1212">SUMPRODUCT(("T_C-BATELCEXT"=[1]OUT_TransportEnergyCons!$A$3:$A$1000)*1,("var_fout"=[1]OUT_TransportEnergyCons!$B$3:$B$1000)*1,ISNUMBER(SEARCH("TPCAR",[1]OUT_TransportEnergyCons!$C$3:$C$1000))*1,[1]OUT_TransportEnergyCons!D$3:D$1000)</f>
        <v>0.41619524748414172</v>
      </c>
      <c r="G1212" s="1" cm="1">
        <f t="array" ref="G1212">SUMPRODUCT(("T_C-BATELCEXT"=[1]OUT_TransportEnergyCons!$A$3:$A$1000)*1,("var_fout"=[1]OUT_TransportEnergyCons!$B$3:$B$1000)*1,ISNUMBER(SEARCH("TPCAR",[1]OUT_TransportEnergyCons!$C$3:$C$1000))*1,[1]OUT_TransportEnergyCons!E$3:E$1000)</f>
        <v>0.36070491418276363</v>
      </c>
      <c r="H1212" s="1" cm="1">
        <f t="array" ref="H1212">SUMPRODUCT(("T_C-BATELCEXT"=[1]OUT_TransportEnergyCons!$A$3:$A$1000)*1,("var_fout"=[1]OUT_TransportEnergyCons!$B$3:$B$1000)*1,ISNUMBER(SEARCH("TPCAR",[1]OUT_TransportEnergyCons!$C$3:$C$1000))*1,[1]OUT_TransportEnergyCons!F$3:F$1000)</f>
        <v>0.27746384777077671</v>
      </c>
      <c r="I1212" s="1" cm="1">
        <f t="array" ref="I1212">SUMPRODUCT(("T_C-BATELCEXT"=[1]OUT_TransportEnergyCons!$A$3:$A$1000)*1,("var_fout"=[1]OUT_TransportEnergyCons!$B$3:$B$1000)*1,ISNUMBER(SEARCH("TPCAR",[1]OUT_TransportEnergyCons!$C$3:$C$1000))*1,[1]OUT_TransportEnergyCons!G$3:G$1000)</f>
        <v>0.13873203934699585</v>
      </c>
      <c r="J1212" s="1" cm="1">
        <f t="array" ref="J1212">SUMPRODUCT(("T_C-BATELCEXT"=[1]OUT_TransportEnergyCons!$A$3:$A$1000)*1,("var_fout"=[1]OUT_TransportEnergyCons!$B$3:$B$1000)*1,ISNUMBER(SEARCH("TPCAR",[1]OUT_TransportEnergyCons!$C$3:$C$1000))*1,[1]OUT_TransportEnergyCons!H$3:H$1000)</f>
        <v>0</v>
      </c>
      <c r="K1212" s="1" cm="1">
        <f t="array" ref="K1212">SUMPRODUCT(("T_C-BATELCEXT"=[1]OUT_TransportEnergyCons!$A$3:$A$1000)*1,("var_fout"=[1]OUT_TransportEnergyCons!$B$3:$B$1000)*1,ISNUMBER(SEARCH("TPCAR",[1]OUT_TransportEnergyCons!$C$3:$C$1000))*1,[1]OUT_TransportEnergyCons!I$3:I$1000)</f>
        <v>0</v>
      </c>
    </row>
    <row r="1213" spans="2:11" x14ac:dyDescent="0.35">
      <c r="B1213" s="5" t="str">
        <f t="shared" si="771"/>
        <v>SPS4</v>
      </c>
      <c r="C1213" s="5" t="str">
        <f t="shared" si="744"/>
        <v>CH</v>
      </c>
      <c r="D1213" t="s">
        <v>1135</v>
      </c>
      <c r="E1213" t="str">
        <f t="shared" ref="E1213:E1261" si="773">E1212</f>
        <v>billion km/yr.</v>
      </c>
      <c r="F1213" s="1" cm="1">
        <f t="array" ref="F1213">SUMPRODUCT(("T_C-BAT-ELC-S1"=[1]OUT_TransportEnergyCons!$A$3:$A$1000)*1,("var_fout"=[1]OUT_TransportEnergyCons!$B$3:$B$1000)*1,ISNUMBER(SEARCH("TPCAR",[1]OUT_TransportEnergyCons!$C$3:$C$1000))*1,[1]OUT_TransportEnergyCons!D$3:D$1000)</f>
        <v>1.3945534842152307E-2</v>
      </c>
      <c r="G1213" s="1" cm="1">
        <f t="array" ref="G1213">SUMPRODUCT(("T_C-BAT-ELC-S1"=[1]OUT_TransportEnergyCons!$A$3:$A$1000)*1,("var_fout"=[1]OUT_TransportEnergyCons!$B$3:$B$1000)*1,ISNUMBER(SEARCH("TPCAR",[1]OUT_TransportEnergyCons!$C$3:$C$1000))*1,[1]OUT_TransportEnergyCons!E$3:E$1000)</f>
        <v>2.5613081052500385E-2</v>
      </c>
      <c r="H1213" s="1" cm="1">
        <f t="array" ref="H1213">SUMPRODUCT(("T_C-BAT-ELC-S1"=[1]OUT_TransportEnergyCons!$A$3:$A$1000)*1,("var_fout"=[1]OUT_TransportEnergyCons!$B$3:$B$1000)*1,ISNUMBER(SEARCH("TPCAR",[1]OUT_TransportEnergyCons!$C$3:$C$1000))*1,[1]OUT_TransportEnergyCons!F$3:F$1000)</f>
        <v>2.0046637136816276E-2</v>
      </c>
      <c r="I1213" s="1" cm="1">
        <f t="array" ref="I1213">SUMPRODUCT(("T_C-BAT-ELC-S1"=[1]OUT_TransportEnergyCons!$A$3:$A$1000)*1,("var_fout"=[1]OUT_TransportEnergyCons!$B$3:$B$1000)*1,ISNUMBER(SEARCH("TPCAR",[1]OUT_TransportEnergyCons!$C$3:$C$1000))*1,[1]OUT_TransportEnergyCons!G$3:G$1000)</f>
        <v>1.7297316673946721E-2</v>
      </c>
      <c r="J1213" s="1" cm="1">
        <f t="array" ref="J1213">SUMPRODUCT(("T_C-BAT-ELC-S1"=[1]OUT_TransportEnergyCons!$A$3:$A$1000)*1,("var_fout"=[1]OUT_TransportEnergyCons!$B$3:$B$1000)*1,ISNUMBER(SEARCH("TPCAR",[1]OUT_TransportEnergyCons!$C$3:$C$1000))*1,[1]OUT_TransportEnergyCons!H$3:H$1000)</f>
        <v>7.7978454998500604E-2</v>
      </c>
      <c r="K1213" s="1" cm="1">
        <f t="array" ref="K1213">SUMPRODUCT(("T_C-BAT-ELC-S1"=[1]OUT_TransportEnergyCons!$A$3:$A$1000)*1,("var_fout"=[1]OUT_TransportEnergyCons!$B$3:$B$1000)*1,ISNUMBER(SEARCH("TPCAR",[1]OUT_TransportEnergyCons!$C$3:$C$1000))*1,[1]OUT_TransportEnergyCons!I$3:I$1000)</f>
        <v>1.6988828682804378</v>
      </c>
    </row>
    <row r="1214" spans="2:11" x14ac:dyDescent="0.35">
      <c r="B1214" s="5" t="str">
        <f t="shared" si="771"/>
        <v>SPS4</v>
      </c>
      <c r="C1214" s="5" t="str">
        <f t="shared" si="744"/>
        <v>CH</v>
      </c>
      <c r="D1214" t="s">
        <v>1136</v>
      </c>
      <c r="E1214" t="str">
        <f t="shared" si="773"/>
        <v>billion km/yr.</v>
      </c>
      <c r="F1214" s="1" cm="1">
        <f t="array" ref="F1214">SUMPRODUCT(("T_C-BAT-ELC-S2"=[1]OUT_TransportEnergyCons!$A$3:$A$1000)*1,("var_fout"=[1]OUT_TransportEnergyCons!$B$3:$B$1000)*1,ISNUMBER(SEARCH("TPCAR",[1]OUT_TransportEnergyCons!$C$3:$C$1000))*1,[1]OUT_TransportEnergyCons!D$3:D$1000)</f>
        <v>9.6852614582681559E-2</v>
      </c>
      <c r="G1214" s="1" cm="1">
        <f t="array" ref="G1214">SUMPRODUCT(("T_C-BAT-ELC-S2"=[1]OUT_TransportEnergyCons!$A$3:$A$1000)*1,("var_fout"=[1]OUT_TransportEnergyCons!$B$3:$B$1000)*1,ISNUMBER(SEARCH("TPCAR",[1]OUT_TransportEnergyCons!$C$3:$C$1000))*1,[1]OUT_TransportEnergyCons!E$3:E$1000)</f>
        <v>0.15112255337758851</v>
      </c>
      <c r="H1214" s="1" cm="1">
        <f t="array" ref="H1214">SUMPRODUCT(("T_C-BAT-ELC-S2"=[1]OUT_TransportEnergyCons!$A$3:$A$1000)*1,("var_fout"=[1]OUT_TransportEnergyCons!$B$3:$B$1000)*1,ISNUMBER(SEARCH("TPCAR",[1]OUT_TransportEnergyCons!$C$3:$C$1000))*1,[1]OUT_TransportEnergyCons!F$3:F$1000)</f>
        <v>1.508820951502774</v>
      </c>
      <c r="I1214" s="1" cm="1">
        <f t="array" ref="I1214">SUMPRODUCT(("T_C-BAT-ELC-S2"=[1]OUT_TransportEnergyCons!$A$3:$A$1000)*1,("var_fout"=[1]OUT_TransportEnergyCons!$B$3:$B$1000)*1,ISNUMBER(SEARCH("TPCAR",[1]OUT_TransportEnergyCons!$C$3:$C$1000))*1,[1]OUT_TransportEnergyCons!G$3:G$1000)</f>
        <v>8.6956858370292416</v>
      </c>
      <c r="J1214" s="1" cm="1">
        <f t="array" ref="J1214">SUMPRODUCT(("T_C-BAT-ELC-S2"=[1]OUT_TransportEnergyCons!$A$3:$A$1000)*1,("var_fout"=[1]OUT_TransportEnergyCons!$B$3:$B$1000)*1,ISNUMBER(SEARCH("TPCAR",[1]OUT_TransportEnergyCons!$C$3:$C$1000))*1,[1]OUT_TransportEnergyCons!H$3:H$1000)</f>
        <v>17.415437948893583</v>
      </c>
      <c r="K1214" s="1" cm="1">
        <f t="array" ref="K1214">SUMPRODUCT(("T_C-BAT-ELC-S2"=[1]OUT_TransportEnergyCons!$A$3:$A$1000)*1,("var_fout"=[1]OUT_TransportEnergyCons!$B$3:$B$1000)*1,ISNUMBER(SEARCH("TPCAR",[1]OUT_TransportEnergyCons!$C$3:$C$1000))*1,[1]OUT_TransportEnergyCons!I$3:I$1000)</f>
        <v>15.527823432965612</v>
      </c>
    </row>
    <row r="1215" spans="2:11" x14ac:dyDescent="0.35">
      <c r="B1215" s="5" t="str">
        <f t="shared" si="771"/>
        <v>SPS4</v>
      </c>
      <c r="C1215" s="5" t="str">
        <f t="shared" si="744"/>
        <v>CH</v>
      </c>
      <c r="D1215" t="s">
        <v>1137</v>
      </c>
      <c r="E1215" t="str">
        <f t="shared" si="773"/>
        <v>billion km/yr.</v>
      </c>
      <c r="F1215" s="1" cm="1">
        <f t="array" ref="F1215">SUMPRODUCT(("T_C-BAT-ELC-S3"=[1]OUT_TransportEnergyCons!$A$3:$A$1000)*1,("var_fout"=[1]OUT_TransportEnergyCons!$B$3:$B$1000)*1,ISNUMBER(SEARCH("TPCAR",[1]OUT_TransportEnergyCons!$C$3:$C$1000))*1,[1]OUT_TransportEnergyCons!D$3:D$1000)</f>
        <v>6.1407759310466235E-2</v>
      </c>
      <c r="G1215" s="1" cm="1">
        <f t="array" ref="G1215">SUMPRODUCT(("T_C-BAT-ELC-S3"=[1]OUT_TransportEnergyCons!$A$3:$A$1000)*1,("var_fout"=[1]OUT_TransportEnergyCons!$B$3:$B$1000)*1,ISNUMBER(SEARCH("TPCAR",[1]OUT_TransportEnergyCons!$C$3:$C$1000))*1,[1]OUT_TransportEnergyCons!E$3:E$1000)</f>
        <v>0.12922851790022888</v>
      </c>
      <c r="H1215" s="1" cm="1">
        <f t="array" ref="H1215">SUMPRODUCT(("T_C-BAT-ELC-S3"=[1]OUT_TransportEnergyCons!$A$3:$A$1000)*1,("var_fout"=[1]OUT_TransportEnergyCons!$B$3:$B$1000)*1,ISNUMBER(SEARCH("TPCAR",[1]OUT_TransportEnergyCons!$C$3:$C$1000))*1,[1]OUT_TransportEnergyCons!F$3:F$1000)</f>
        <v>0.18383283302494582</v>
      </c>
      <c r="I1215" s="1" cm="1">
        <f t="array" ref="I1215">SUMPRODUCT(("T_C-BAT-ELC-S3"=[1]OUT_TransportEnergyCons!$A$3:$A$1000)*1,("var_fout"=[1]OUT_TransportEnergyCons!$B$3:$B$1000)*1,ISNUMBER(SEARCH("TPCAR",[1]OUT_TransportEnergyCons!$C$3:$C$1000))*1,[1]OUT_TransportEnergyCons!G$3:G$1000)</f>
        <v>2.8450360226360027</v>
      </c>
      <c r="J1215" s="1" cm="1">
        <f t="array" ref="J1215">SUMPRODUCT(("T_C-BAT-ELC-S3"=[1]OUT_TransportEnergyCons!$A$3:$A$1000)*1,("var_fout"=[1]OUT_TransportEnergyCons!$B$3:$B$1000)*1,ISNUMBER(SEARCH("TPCAR",[1]OUT_TransportEnergyCons!$C$3:$C$1000))*1,[1]OUT_TransportEnergyCons!H$3:H$1000)</f>
        <v>6.1886911430926874</v>
      </c>
      <c r="K1215" s="1" cm="1">
        <f t="array" ref="K1215">SUMPRODUCT(("T_C-BAT-ELC-S3"=[1]OUT_TransportEnergyCons!$A$3:$A$1000)*1,("var_fout"=[1]OUT_TransportEnergyCons!$B$3:$B$1000)*1,ISNUMBER(SEARCH("TPCAR",[1]OUT_TransportEnergyCons!$C$3:$C$1000))*1,[1]OUT_TransportEnergyCons!I$3:I$1000)</f>
        <v>5.2227127418740897</v>
      </c>
    </row>
    <row r="1216" spans="2:11" x14ac:dyDescent="0.35">
      <c r="B1216" s="5" t="str">
        <f t="shared" si="771"/>
        <v>SPS4</v>
      </c>
      <c r="C1216" s="5" t="str">
        <f t="shared" ref="C1216:C1262" si="774">C1215</f>
        <v>CH</v>
      </c>
      <c r="D1216" t="s">
        <v>1138</v>
      </c>
      <c r="E1216" t="str">
        <f t="shared" si="773"/>
        <v>billion km/yr.</v>
      </c>
      <c r="F1216" s="1" cm="1">
        <f t="array" ref="F1216">SUMPRODUCT(("T_C-BAT-ELC-S4"=[1]OUT_TransportEnergyCons!$A$3:$A$1000)*1,("var_fout"=[1]OUT_TransportEnergyCons!$B$3:$B$1000)*1,ISNUMBER(SEARCH("TPCAR",[1]OUT_TransportEnergyCons!$C$3:$C$1000))*1,[1]OUT_TransportEnergyCons!D$3:D$1000)</f>
        <v>0.19376216938018143</v>
      </c>
      <c r="G1216" s="1" cm="1">
        <f t="array" ref="G1216">SUMPRODUCT(("T_C-BAT-ELC-S4"=[1]OUT_TransportEnergyCons!$A$3:$A$1000)*1,("var_fout"=[1]OUT_TransportEnergyCons!$B$3:$B$1000)*1,ISNUMBER(SEARCH("TPCAR",[1]OUT_TransportEnergyCons!$C$3:$C$1000))*1,[1]OUT_TransportEnergyCons!E$3:E$1000)</f>
        <v>1.3646424076980346</v>
      </c>
      <c r="H1216" s="1" cm="1">
        <f t="array" ref="H1216">SUMPRODUCT(("T_C-BAT-ELC-S4"=[1]OUT_TransportEnergyCons!$A$3:$A$1000)*1,("var_fout"=[1]OUT_TransportEnergyCons!$B$3:$B$1000)*1,ISNUMBER(SEARCH("TPCAR",[1]OUT_TransportEnergyCons!$C$3:$C$1000))*1,[1]OUT_TransportEnergyCons!F$3:F$1000)</f>
        <v>3.3392124340152463</v>
      </c>
      <c r="I1216" s="1" cm="1">
        <f t="array" ref="I1216">SUMPRODUCT(("T_C-BAT-ELC-S4"=[1]OUT_TransportEnergyCons!$A$3:$A$1000)*1,("var_fout"=[1]OUT_TransportEnergyCons!$B$3:$B$1000)*1,ISNUMBER(SEARCH("TPCAR",[1]OUT_TransportEnergyCons!$C$3:$C$1000))*1,[1]OUT_TransportEnergyCons!G$3:G$1000)</f>
        <v>4.6027789119777465</v>
      </c>
      <c r="J1216" s="1" cm="1">
        <f t="array" ref="J1216">SUMPRODUCT(("T_C-BAT-ELC-S4"=[1]OUT_TransportEnergyCons!$A$3:$A$1000)*1,("var_fout"=[1]OUT_TransportEnergyCons!$B$3:$B$1000)*1,ISNUMBER(SEARCH("TPCAR",[1]OUT_TransportEnergyCons!$C$3:$C$1000))*1,[1]OUT_TransportEnergyCons!H$3:H$1000)</f>
        <v>6.2835337820215909</v>
      </c>
      <c r="K1216" s="1" cm="1">
        <f t="array" ref="K1216">SUMPRODUCT(("T_C-BAT-ELC-S4"=[1]OUT_TransportEnergyCons!$A$3:$A$1000)*1,("var_fout"=[1]OUT_TransportEnergyCons!$B$3:$B$1000)*1,ISNUMBER(SEARCH("TPCAR",[1]OUT_TransportEnergyCons!$C$3:$C$1000))*1,[1]OUT_TransportEnergyCons!I$3:I$1000)</f>
        <v>9.9846854747647882</v>
      </c>
    </row>
    <row r="1217" spans="2:11" x14ac:dyDescent="0.35">
      <c r="B1217" s="5" t="str">
        <f t="shared" si="771"/>
        <v>SPS4</v>
      </c>
      <c r="C1217" s="5" t="str">
        <f t="shared" si="774"/>
        <v>CH</v>
      </c>
      <c r="D1217" t="s">
        <v>1139</v>
      </c>
      <c r="E1217" t="str">
        <f t="shared" si="773"/>
        <v>billion km/yr.</v>
      </c>
      <c r="F1217" s="1" cm="1">
        <f t="array" ref="F1217">SUMPRODUCT(("T_C-PEV-GSL-S1"=[1]OUT_TransportEnergyCons!$A$3:$A$1000)*1,("var_fout"=[1]OUT_TransportEnergyCons!$B$3:$B$1000)*1,ISNUMBER(SEARCH("TPCAR",[1]OUT_TransportEnergyCons!$C$3:$C$1000))*1,[1]OUT_TransportEnergyCons!D$3:D$1000)</f>
        <v>2.1336140903938355E-4</v>
      </c>
      <c r="G1217" s="1" cm="1">
        <f t="array" ref="G1217">SUMPRODUCT(("T_C-PEV-GSL-S1"=[1]OUT_TransportEnergyCons!$A$3:$A$1000)*1,("var_fout"=[1]OUT_TransportEnergyCons!$B$3:$B$1000)*1,ISNUMBER(SEARCH("TPCAR",[1]OUT_TransportEnergyCons!$C$3:$C$1000))*1,[1]OUT_TransportEnergyCons!E$3:E$1000)</f>
        <v>6.9478448021671583E-4</v>
      </c>
      <c r="H1217" s="1" cm="1">
        <f t="array" ref="H1217">SUMPRODUCT(("T_C-PEV-GSL-S1"=[1]OUT_TransportEnergyCons!$A$3:$A$1000)*1,("var_fout"=[1]OUT_TransportEnergyCons!$B$3:$B$1000)*1,ISNUMBER(SEARCH("TPCAR",[1]OUT_TransportEnergyCons!$C$3:$C$1000))*1,[1]OUT_TransportEnergyCons!F$3:F$1000)</f>
        <v>9.1395494560095672E-4</v>
      </c>
      <c r="I1217" s="1" cm="1">
        <f t="array" ref="I1217">SUMPRODUCT(("T_C-PEV-GSL-S1"=[1]OUT_TransportEnergyCons!$A$3:$A$1000)*1,("var_fout"=[1]OUT_TransportEnergyCons!$B$3:$B$1000)*1,ISNUMBER(SEARCH("TPCAR",[1]OUT_TransportEnergyCons!$C$3:$C$1000))*1,[1]OUT_TransportEnergyCons!G$3:G$1000)</f>
        <v>9.3592159042327064E-4</v>
      </c>
      <c r="J1217" s="1" cm="1">
        <f t="array" ref="J1217">SUMPRODUCT(("T_C-PEV-GSL-S1"=[1]OUT_TransportEnergyCons!$A$3:$A$1000)*1,("var_fout"=[1]OUT_TransportEnergyCons!$B$3:$B$1000)*1,ISNUMBER(SEARCH("TPCAR",[1]OUT_TransportEnergyCons!$C$3:$C$1000))*1,[1]OUT_TransportEnergyCons!H$3:H$1000)</f>
        <v>8.5530533807458905E-4</v>
      </c>
      <c r="K1217" s="1" cm="1">
        <f t="array" ref="K1217">SUMPRODUCT(("T_C-PEV-GSL-S1"=[1]OUT_TransportEnergyCons!$A$3:$A$1000)*1,("var_fout"=[1]OUT_TransportEnergyCons!$B$3:$B$1000)*1,ISNUMBER(SEARCH("TPCAR",[1]OUT_TransportEnergyCons!$C$3:$C$1000))*1,[1]OUT_TransportEnergyCons!I$3:I$1000)</f>
        <v>5.7787021579641781E-4</v>
      </c>
    </row>
    <row r="1218" spans="2:11" x14ac:dyDescent="0.35">
      <c r="B1218" s="5" t="str">
        <f t="shared" si="771"/>
        <v>SPS4</v>
      </c>
      <c r="C1218" s="5" t="str">
        <f t="shared" si="774"/>
        <v>CH</v>
      </c>
      <c r="D1218" t="s">
        <v>1140</v>
      </c>
      <c r="E1218" t="str">
        <f t="shared" si="773"/>
        <v>billion km/yr.</v>
      </c>
      <c r="F1218" s="1" cm="1">
        <f t="array" ref="F1218">SUMPRODUCT(("T_C-PEV-GSL-S2"=[1]OUT_TransportEnergyCons!$A$3:$A$1000)*1,("var_fout"=[1]OUT_TransportEnergyCons!$B$3:$B$1000)*1,ISNUMBER(SEARCH("TPCAR",[1]OUT_TransportEnergyCons!$C$3:$C$1000))*1,[1]OUT_TransportEnergyCons!D$3:D$1000)</f>
        <v>5.0666787487230094E-2</v>
      </c>
      <c r="G1218" s="1" cm="1">
        <f t="array" ref="G1218">SUMPRODUCT(("T_C-PEV-GSL-S2"=[1]OUT_TransportEnergyCons!$A$3:$A$1000)*1,("var_fout"=[1]OUT_TransportEnergyCons!$B$3:$B$1000)*1,ISNUMBER(SEARCH("TPCAR",[1]OUT_TransportEnergyCons!$C$3:$C$1000))*1,[1]OUT_TransportEnergyCons!E$3:E$1000)</f>
        <v>9.8786093074408332E-2</v>
      </c>
      <c r="H1218" s="1" cm="1">
        <f t="array" ref="H1218">SUMPRODUCT(("T_C-PEV-GSL-S2"=[1]OUT_TransportEnergyCons!$A$3:$A$1000)*1,("var_fout"=[1]OUT_TransportEnergyCons!$B$3:$B$1000)*1,ISNUMBER(SEARCH("TPCAR",[1]OUT_TransportEnergyCons!$C$3:$C$1000))*1,[1]OUT_TransportEnergyCons!F$3:F$1000)</f>
        <v>9.447278330186501E-2</v>
      </c>
      <c r="I1218" s="1" cm="1">
        <f t="array" ref="I1218">SUMPRODUCT(("T_C-PEV-GSL-S2"=[1]OUT_TransportEnergyCons!$A$3:$A$1000)*1,("var_fout"=[1]OUT_TransportEnergyCons!$B$3:$B$1000)*1,ISNUMBER(SEARCH("TPCAR",[1]OUT_TransportEnergyCons!$C$3:$C$1000))*1,[1]OUT_TransportEnergyCons!G$3:G$1000)</f>
        <v>7.9013397142630185E-2</v>
      </c>
      <c r="J1218" s="1" cm="1">
        <f t="array" ref="J1218">SUMPRODUCT(("T_C-PEV-GSL-S2"=[1]OUT_TransportEnergyCons!$A$3:$A$1000)*1,("var_fout"=[1]OUT_TransportEnergyCons!$B$3:$B$1000)*1,ISNUMBER(SEARCH("TPCAR",[1]OUT_TransportEnergyCons!$C$3:$C$1000))*1,[1]OUT_TransportEnergyCons!H$3:H$1000)</f>
        <v>2.9226203298437043E-3</v>
      </c>
      <c r="K1218" s="1" cm="1">
        <f t="array" ref="K1218">SUMPRODUCT(("T_C-PEV-GSL-S2"=[1]OUT_TransportEnergyCons!$A$3:$A$1000)*1,("var_fout"=[1]OUT_TransportEnergyCons!$B$3:$B$1000)*1,ISNUMBER(SEARCH("TPCAR",[1]OUT_TransportEnergyCons!$C$3:$C$1000))*1,[1]OUT_TransportEnergyCons!I$3:I$1000)</f>
        <v>1.7183413921732509E-3</v>
      </c>
    </row>
    <row r="1219" spans="2:11" x14ac:dyDescent="0.35">
      <c r="B1219" s="5" t="str">
        <f t="shared" si="771"/>
        <v>SPS4</v>
      </c>
      <c r="C1219" s="5" t="str">
        <f t="shared" si="774"/>
        <v>CH</v>
      </c>
      <c r="D1219" t="s">
        <v>1141</v>
      </c>
      <c r="E1219" t="str">
        <f t="shared" si="773"/>
        <v>billion km/yr.</v>
      </c>
      <c r="F1219" s="1" cm="1">
        <f t="array" ref="F1219">SUMPRODUCT(("T_C-PEV-GSL-S3"=[1]OUT_TransportEnergyCons!$A$3:$A$1000)*1,("var_fout"=[1]OUT_TransportEnergyCons!$B$3:$B$1000)*1,ISNUMBER(SEARCH("TPCAR",[1]OUT_TransportEnergyCons!$C$3:$C$1000))*1,[1]OUT_TransportEnergyCons!D$3:D$1000)</f>
        <v>4.886457905184112E-2</v>
      </c>
      <c r="G1219" s="1" cm="1">
        <f t="array" ref="G1219">SUMPRODUCT(("T_C-PEV-GSL-S3"=[1]OUT_TransportEnergyCons!$A$3:$A$1000)*1,("var_fout"=[1]OUT_TransportEnergyCons!$B$3:$B$1000)*1,ISNUMBER(SEARCH("TPCAR",[1]OUT_TransportEnergyCons!$C$3:$C$1000))*1,[1]OUT_TransportEnergyCons!E$3:E$1000)</f>
        <v>0.66827934079775486</v>
      </c>
      <c r="H1219" s="1" cm="1">
        <f t="array" ref="H1219">SUMPRODUCT(("T_C-PEV-GSL-S3"=[1]OUT_TransportEnergyCons!$A$3:$A$1000)*1,("var_fout"=[1]OUT_TransportEnergyCons!$B$3:$B$1000)*1,ISNUMBER(SEARCH("TPCAR",[1]OUT_TransportEnergyCons!$C$3:$C$1000))*1,[1]OUT_TransportEnergyCons!F$3:F$1000)</f>
        <v>1.191829258881367</v>
      </c>
      <c r="I1219" s="1" cm="1">
        <f t="array" ref="I1219">SUMPRODUCT(("T_C-PEV-GSL-S3"=[1]OUT_TransportEnergyCons!$A$3:$A$1000)*1,("var_fout"=[1]OUT_TransportEnergyCons!$B$3:$B$1000)*1,ISNUMBER(SEARCH("TPCAR",[1]OUT_TransportEnergyCons!$C$3:$C$1000))*1,[1]OUT_TransportEnergyCons!G$3:G$1000)</f>
        <v>1.3031217870806957</v>
      </c>
      <c r="J1219" s="1" cm="1">
        <f t="array" ref="J1219">SUMPRODUCT(("T_C-PEV-GSL-S3"=[1]OUT_TransportEnergyCons!$A$3:$A$1000)*1,("var_fout"=[1]OUT_TransportEnergyCons!$B$3:$B$1000)*1,ISNUMBER(SEARCH("TPCAR",[1]OUT_TransportEnergyCons!$C$3:$C$1000))*1,[1]OUT_TransportEnergyCons!H$3:H$1000)</f>
        <v>0.91005005762907309</v>
      </c>
      <c r="K1219" s="1" cm="1">
        <f t="array" ref="K1219">SUMPRODUCT(("T_C-PEV-GSL-S3"=[1]OUT_TransportEnergyCons!$A$3:$A$1000)*1,("var_fout"=[1]OUT_TransportEnergyCons!$B$3:$B$1000)*1,ISNUMBER(SEARCH("TPCAR",[1]OUT_TransportEnergyCons!$C$3:$C$1000))*1,[1]OUT_TransportEnergyCons!I$3:I$1000)</f>
        <v>1.77414946225949</v>
      </c>
    </row>
    <row r="1220" spans="2:11" x14ac:dyDescent="0.35">
      <c r="B1220" s="5" t="str">
        <f t="shared" si="771"/>
        <v>SPS4</v>
      </c>
      <c r="C1220" s="5" t="str">
        <f t="shared" si="774"/>
        <v>CH</v>
      </c>
      <c r="D1220" t="s">
        <v>1142</v>
      </c>
      <c r="E1220" t="str">
        <f t="shared" si="773"/>
        <v>billion km/yr.</v>
      </c>
      <c r="F1220" s="1" cm="1">
        <f t="array" ref="F1220">SUMPRODUCT(("T_C-PEV-GSL-S4"=[1]OUT_TransportEnergyCons!$A$3:$A$1000)*1,("var_fout"=[1]OUT_TransportEnergyCons!$B$3:$B$1000)*1,ISNUMBER(SEARCH("TPCAR",[1]OUT_TransportEnergyCons!$C$3:$C$1000))*1,[1]OUT_TransportEnergyCons!D$3:D$1000)</f>
        <v>8.8918253552470738E-2</v>
      </c>
      <c r="G1220" s="1" cm="1">
        <f t="array" ref="G1220">SUMPRODUCT(("T_C-PEV-GSL-S4"=[1]OUT_TransportEnergyCons!$A$3:$A$1000)*1,("var_fout"=[1]OUT_TransportEnergyCons!$B$3:$B$1000)*1,ISNUMBER(SEARCH("TPCAR",[1]OUT_TransportEnergyCons!$C$3:$C$1000))*1,[1]OUT_TransportEnergyCons!E$3:E$1000)</f>
        <v>0.15999164844813546</v>
      </c>
      <c r="H1220" s="1" cm="1">
        <f t="array" ref="H1220">SUMPRODUCT(("T_C-PEV-GSL-S4"=[1]OUT_TransportEnergyCons!$A$3:$A$1000)*1,("var_fout"=[1]OUT_TransportEnergyCons!$B$3:$B$1000)*1,ISNUMBER(SEARCH("TPCAR",[1]OUT_TransportEnergyCons!$C$3:$C$1000))*1,[1]OUT_TransportEnergyCons!F$3:F$1000)</f>
        <v>0.15446958425615523</v>
      </c>
      <c r="I1220" s="1" cm="1">
        <f t="array" ref="I1220">SUMPRODUCT(("T_C-PEV-GSL-S4"=[1]OUT_TransportEnergyCons!$A$3:$A$1000)*1,("var_fout"=[1]OUT_TransportEnergyCons!$B$3:$B$1000)*1,ISNUMBER(SEARCH("TPCAR",[1]OUT_TransportEnergyCons!$C$3:$C$1000))*1,[1]OUT_TransportEnergyCons!G$3:G$1000)</f>
        <v>0.12534786784074212</v>
      </c>
      <c r="J1220" s="1" cm="1">
        <f t="array" ref="J1220">SUMPRODUCT(("T_C-PEV-GSL-S4"=[1]OUT_TransportEnergyCons!$A$3:$A$1000)*1,("var_fout"=[1]OUT_TransportEnergyCons!$B$3:$B$1000)*1,ISNUMBER(SEARCH("TPCAR",[1]OUT_TransportEnergyCons!$C$3:$C$1000))*1,[1]OUT_TransportEnergyCons!H$3:H$1000)</f>
        <v>4.3873627071682186E-3</v>
      </c>
      <c r="K1220" s="1" cm="1">
        <f t="array" ref="K1220">SUMPRODUCT(("T_C-PEV-GSL-S4"=[1]OUT_TransportEnergyCons!$A$3:$A$1000)*1,("var_fout"=[1]OUT_TransportEnergyCons!$B$3:$B$1000)*1,ISNUMBER(SEARCH("TPCAR",[1]OUT_TransportEnergyCons!$C$3:$C$1000))*1,[1]OUT_TransportEnergyCons!I$3:I$1000)</f>
        <v>2.6703692645753596E-3</v>
      </c>
    </row>
    <row r="1221" spans="2:11" x14ac:dyDescent="0.35">
      <c r="B1221" s="5" t="str">
        <f t="shared" si="771"/>
        <v>SPS4</v>
      </c>
      <c r="C1221" s="5" t="str">
        <f t="shared" si="774"/>
        <v>CH</v>
      </c>
      <c r="D1221" t="s">
        <v>1143</v>
      </c>
      <c r="E1221" t="str">
        <f t="shared" si="773"/>
        <v>billion km/yr.</v>
      </c>
      <c r="F1221" s="1" cm="1">
        <f t="array" ref="F1221">SUMPRODUCT(("T_C-PEV-DSL-S1"=[1]OUT_TransportEnergyCons!$A$3:$A$1000)*1,("var_fout"=[1]OUT_TransportEnergyCons!$B$3:$B$1000)*1,ISNUMBER(SEARCH("TPCAR",[1]OUT_TransportEnergyCons!$C$3:$C$1000))*1,[1]OUT_TransportEnergyCons!D$3:D$1000)</f>
        <v>1.2834355548828797E-5</v>
      </c>
      <c r="G1221" s="1" cm="1">
        <f t="array" ref="G1221">SUMPRODUCT(("T_C-PEV-DSL-S1"=[1]OUT_TransportEnergyCons!$A$3:$A$1000)*1,("var_fout"=[1]OUT_TransportEnergyCons!$B$3:$B$1000)*1,ISNUMBER(SEARCH("TPCAR",[1]OUT_TransportEnergyCons!$C$3:$C$1000))*1,[1]OUT_TransportEnergyCons!E$3:E$1000)</f>
        <v>5.1403902624376063E-4</v>
      </c>
      <c r="H1221" s="1" cm="1">
        <f t="array" ref="H1221">SUMPRODUCT(("T_C-PEV-DSL-S1"=[1]OUT_TransportEnergyCons!$A$3:$A$1000)*1,("var_fout"=[1]OUT_TransportEnergyCons!$B$3:$B$1000)*1,ISNUMBER(SEARCH("TPCAR",[1]OUT_TransportEnergyCons!$C$3:$C$1000))*1,[1]OUT_TransportEnergyCons!F$3:F$1000)</f>
        <v>7.7242974911922394E-4</v>
      </c>
      <c r="I1221" s="1" cm="1">
        <f t="array" ref="I1221">SUMPRODUCT(("T_C-PEV-DSL-S1"=[1]OUT_TransportEnergyCons!$A$3:$A$1000)*1,("var_fout"=[1]OUT_TransportEnergyCons!$B$3:$B$1000)*1,ISNUMBER(SEARCH("TPCAR",[1]OUT_TransportEnergyCons!$C$3:$C$1000))*1,[1]OUT_TransportEnergyCons!G$3:G$1000)</f>
        <v>8.4708334629353377E-4</v>
      </c>
      <c r="J1221" s="1" cm="1">
        <f t="array" ref="J1221">SUMPRODUCT(("T_C-PEV-DSL-S1"=[1]OUT_TransportEnergyCons!$A$3:$A$1000)*1,("var_fout"=[1]OUT_TransportEnergyCons!$B$3:$B$1000)*1,ISNUMBER(SEARCH("TPCAR",[1]OUT_TransportEnergyCons!$C$3:$C$1000))*1,[1]OUT_TransportEnergyCons!H$3:H$1000)</f>
        <v>8.6449284228909678E-4</v>
      </c>
      <c r="K1221" s="1" cm="1">
        <f t="array" ref="K1221">SUMPRODUCT(("T_C-PEV-DSL-S1"=[1]OUT_TransportEnergyCons!$A$3:$A$1000)*1,("var_fout"=[1]OUT_TransportEnergyCons!$B$3:$B$1000)*1,ISNUMBER(SEARCH("TPCAR",[1]OUT_TransportEnergyCons!$C$3:$C$1000))*1,[1]OUT_TransportEnergyCons!I$3:I$1000)</f>
        <v>5.8464311372666939E-4</v>
      </c>
    </row>
    <row r="1222" spans="2:11" x14ac:dyDescent="0.35">
      <c r="B1222" s="5" t="str">
        <f t="shared" si="771"/>
        <v>SPS4</v>
      </c>
      <c r="C1222" s="5" t="str">
        <f t="shared" si="774"/>
        <v>CH</v>
      </c>
      <c r="D1222" t="s">
        <v>1144</v>
      </c>
      <c r="E1222" t="str">
        <f t="shared" si="773"/>
        <v>billion km/yr.</v>
      </c>
      <c r="F1222" s="1" cm="1">
        <f t="array" ref="F1222">SUMPRODUCT(("T_C-PEV-DSL-S2"=[1]OUT_TransportEnergyCons!$A$3:$A$1000)*1,("var_fout"=[1]OUT_TransportEnergyCons!$B$3:$B$1000)*1,ISNUMBER(SEARCH("TPCAR",[1]OUT_TransportEnergyCons!$C$3:$C$1000))*1,[1]OUT_TransportEnergyCons!D$3:D$1000)</f>
        <v>4.0841716815144521E-6</v>
      </c>
      <c r="G1222" s="1" cm="1">
        <f t="array" ref="G1222">SUMPRODUCT(("T_C-PEV-DSL-S2"=[1]OUT_TransportEnergyCons!$A$3:$A$1000)*1,("var_fout"=[1]OUT_TransportEnergyCons!$B$3:$B$1000)*1,ISNUMBER(SEARCH("TPCAR",[1]OUT_TransportEnergyCons!$C$3:$C$1000))*1,[1]OUT_TransportEnergyCons!E$3:E$1000)</f>
        <v>4.6775570363796851E-4</v>
      </c>
      <c r="H1222" s="1" cm="1">
        <f t="array" ref="H1222">SUMPRODUCT(("T_C-PEV-DSL-S2"=[1]OUT_TransportEnergyCons!$A$3:$A$1000)*1,("var_fout"=[1]OUT_TransportEnergyCons!$B$3:$B$1000)*1,ISNUMBER(SEARCH("TPCAR",[1]OUT_TransportEnergyCons!$C$3:$C$1000))*1,[1]OUT_TransportEnergyCons!F$3:F$1000)</f>
        <v>1.855118685110497E-3</v>
      </c>
      <c r="I1222" s="1" cm="1">
        <f t="array" ref="I1222">SUMPRODUCT(("T_C-PEV-DSL-S2"=[1]OUT_TransportEnergyCons!$A$3:$A$1000)*1,("var_fout"=[1]OUT_TransportEnergyCons!$B$3:$B$1000)*1,ISNUMBER(SEARCH("TPCAR",[1]OUT_TransportEnergyCons!$C$3:$C$1000))*1,[1]OUT_TransportEnergyCons!G$3:G$1000)</f>
        <v>2.7194929695767093E-3</v>
      </c>
      <c r="J1222" s="1" cm="1">
        <f t="array" ref="J1222">SUMPRODUCT(("T_C-PEV-DSL-S2"=[1]OUT_TransportEnergyCons!$A$3:$A$1000)*1,("var_fout"=[1]OUT_TransportEnergyCons!$B$3:$B$1000)*1,ISNUMBER(SEARCH("TPCAR",[1]OUT_TransportEnergyCons!$C$3:$C$1000))*1,[1]OUT_TransportEnergyCons!H$3:H$1000)</f>
        <v>3.2166452475301077E-3</v>
      </c>
      <c r="K1222" s="1" cm="1">
        <f t="array" ref="K1222">SUMPRODUCT(("T_C-PEV-DSL-S2"=[1]OUT_TransportEnergyCons!$A$3:$A$1000)*1,("var_fout"=[1]OUT_TransportEnergyCons!$B$3:$B$1000)*1,ISNUMBER(SEARCH("TPCAR",[1]OUT_TransportEnergyCons!$C$3:$C$1000))*1,[1]OUT_TransportEnergyCons!I$3:I$1000)</f>
        <v>1.8100242867554294E-3</v>
      </c>
    </row>
    <row r="1223" spans="2:11" x14ac:dyDescent="0.35">
      <c r="B1223" s="5" t="str">
        <f t="shared" si="771"/>
        <v>SPS4</v>
      </c>
      <c r="C1223" s="5" t="str">
        <f t="shared" si="774"/>
        <v>CH</v>
      </c>
      <c r="D1223" t="s">
        <v>1145</v>
      </c>
      <c r="E1223" t="str">
        <f t="shared" si="773"/>
        <v>billion km/yr.</v>
      </c>
      <c r="F1223" s="1" cm="1">
        <f t="array" ref="F1223">SUMPRODUCT(("T_C-PEV-DSL-S3"=[1]OUT_TransportEnergyCons!$A$3:$A$1000)*1,("var_fout"=[1]OUT_TransportEnergyCons!$B$3:$B$1000)*1,ISNUMBER(SEARCH("TPCAR",[1]OUT_TransportEnergyCons!$C$3:$C$1000))*1,[1]OUT_TransportEnergyCons!D$3:D$1000)</f>
        <v>6.1519569775412227E-5</v>
      </c>
      <c r="G1223" s="1" cm="1">
        <f t="array" ref="G1223">SUMPRODUCT(("T_C-PEV-DSL-S3"=[1]OUT_TransportEnergyCons!$A$3:$A$1000)*1,("var_fout"=[1]OUT_TransportEnergyCons!$B$3:$B$1000)*1,ISNUMBER(SEARCH("TPCAR",[1]OUT_TransportEnergyCons!$C$3:$C$1000))*1,[1]OUT_TransportEnergyCons!E$3:E$1000)</f>
        <v>8.8823767447580634E-3</v>
      </c>
      <c r="H1223" s="1" cm="1">
        <f t="array" ref="H1223">SUMPRODUCT(("T_C-PEV-DSL-S3"=[1]OUT_TransportEnergyCons!$A$3:$A$1000)*1,("var_fout"=[1]OUT_TransportEnergyCons!$B$3:$B$1000)*1,ISNUMBER(SEARCH("TPCAR",[1]OUT_TransportEnergyCons!$C$3:$C$1000))*1,[1]OUT_TransportEnergyCons!F$3:F$1000)</f>
        <v>0.99200283031645131</v>
      </c>
      <c r="I1223" s="1" cm="1">
        <f t="array" ref="I1223">SUMPRODUCT(("T_C-PEV-DSL-S3"=[1]OUT_TransportEnergyCons!$A$3:$A$1000)*1,("var_fout"=[1]OUT_TransportEnergyCons!$B$3:$B$1000)*1,ISNUMBER(SEARCH("TPCAR",[1]OUT_TransportEnergyCons!$C$3:$C$1000))*1,[1]OUT_TransportEnergyCons!G$3:G$1000)</f>
        <v>4.9512639339272946</v>
      </c>
      <c r="J1223" s="1" cm="1">
        <f t="array" ref="J1223">SUMPRODUCT(("T_C-PEV-DSL-S3"=[1]OUT_TransportEnergyCons!$A$3:$A$1000)*1,("var_fout"=[1]OUT_TransportEnergyCons!$B$3:$B$1000)*1,ISNUMBER(SEARCH("TPCAR",[1]OUT_TransportEnergyCons!$C$3:$C$1000))*1,[1]OUT_TransportEnergyCons!H$3:H$1000)</f>
        <v>10.918122266897083</v>
      </c>
      <c r="K1223" s="1" cm="1">
        <f t="array" ref="K1223">SUMPRODUCT(("T_C-PEV-DSL-S3"=[1]OUT_TransportEnergyCons!$A$3:$A$1000)*1,("var_fout"=[1]OUT_TransportEnergyCons!$B$3:$B$1000)*1,ISNUMBER(SEARCH("TPCAR",[1]OUT_TransportEnergyCons!$C$3:$C$1000))*1,[1]OUT_TransportEnergyCons!I$3:I$1000)</f>
        <v>8.828950774927252</v>
      </c>
    </row>
    <row r="1224" spans="2:11" x14ac:dyDescent="0.35">
      <c r="B1224" s="5" t="str">
        <f t="shared" si="771"/>
        <v>SPS4</v>
      </c>
      <c r="C1224" s="5" t="str">
        <f t="shared" si="774"/>
        <v>CH</v>
      </c>
      <c r="D1224" t="s">
        <v>1146</v>
      </c>
      <c r="E1224" t="str">
        <f t="shared" si="773"/>
        <v>billion km/yr.</v>
      </c>
      <c r="F1224" s="1" cm="1">
        <f t="array" ref="F1224">SUMPRODUCT(("T_C-PEV-DSL-S4"=[1]OUT_TransportEnergyCons!$A$3:$A$1000)*1,("var_fout"=[1]OUT_TransportEnergyCons!$B$3:$B$1000)*1,ISNUMBER(SEARCH("TPCAR",[1]OUT_TransportEnergyCons!$C$3:$C$1000))*1,[1]OUT_TransportEnergyCons!D$3:D$1000)</f>
        <v>2.9991926249729795E-3</v>
      </c>
      <c r="G1224" s="1" cm="1">
        <f t="array" ref="G1224">SUMPRODUCT(("T_C-PEV-DSL-S4"=[1]OUT_TransportEnergyCons!$A$3:$A$1000)*1,("var_fout"=[1]OUT_TransportEnergyCons!$B$3:$B$1000)*1,ISNUMBER(SEARCH("TPCAR",[1]OUT_TransportEnergyCons!$C$3:$C$1000))*1,[1]OUT_TransportEnergyCons!E$3:E$1000)</f>
        <v>1.0327144480522686E-2</v>
      </c>
      <c r="H1224" s="1" cm="1">
        <f t="array" ref="H1224">SUMPRODUCT(("T_C-PEV-DSL-S4"=[1]OUT_TransportEnergyCons!$A$3:$A$1000)*1,("var_fout"=[1]OUT_TransportEnergyCons!$B$3:$B$1000)*1,ISNUMBER(SEARCH("TPCAR",[1]OUT_TransportEnergyCons!$C$3:$C$1000))*1,[1]OUT_TransportEnergyCons!F$3:F$1000)</f>
        <v>1.1576246114986226E-2</v>
      </c>
      <c r="I1224" s="1" cm="1">
        <f t="array" ref="I1224">SUMPRODUCT(("T_C-PEV-DSL-S4"=[1]OUT_TransportEnergyCons!$A$3:$A$1000)*1,("var_fout"=[1]OUT_TransportEnergyCons!$B$3:$B$1000)*1,ISNUMBER(SEARCH("TPCAR",[1]OUT_TransportEnergyCons!$C$3:$C$1000))*1,[1]OUT_TransportEnergyCons!G$3:G$1000)</f>
        <v>1.1116881910517989E-2</v>
      </c>
      <c r="J1224" s="1" cm="1">
        <f t="array" ref="J1224">SUMPRODUCT(("T_C-PEV-DSL-S4"=[1]OUT_TransportEnergyCons!$A$3:$A$1000)*1,("var_fout"=[1]OUT_TransportEnergyCons!$B$3:$B$1000)*1,ISNUMBER(SEARCH("TPCAR",[1]OUT_TransportEnergyCons!$C$3:$C$1000))*1,[1]OUT_TransportEnergyCons!H$3:H$1000)</f>
        <v>4.7981821058134507E-3</v>
      </c>
      <c r="K1224" s="1" cm="1">
        <f t="array" ref="K1224">SUMPRODUCT(("T_C-PEV-DSL-S4"=[1]OUT_TransportEnergyCons!$A$3:$A$1000)*1,("var_fout"=[1]OUT_TransportEnergyCons!$B$3:$B$1000)*1,ISNUMBER(SEARCH("TPCAR",[1]OUT_TransportEnergyCons!$C$3:$C$1000))*1,[1]OUT_TransportEnergyCons!I$3:I$1000)</f>
        <v>2.8040299005639481E-3</v>
      </c>
    </row>
    <row r="1225" spans="2:11" x14ac:dyDescent="0.35">
      <c r="B1225" s="5" t="str">
        <f t="shared" si="771"/>
        <v>SPS4</v>
      </c>
      <c r="C1225" s="5" t="str">
        <f t="shared" si="774"/>
        <v>CH</v>
      </c>
      <c r="D1225" t="s">
        <v>1147</v>
      </c>
      <c r="E1225" t="str">
        <f t="shared" si="773"/>
        <v>billion km/yr.</v>
      </c>
      <c r="F1225" s="1" cm="1">
        <f t="array" ref="F1225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5" s="1" cm="1">
        <f t="array" ref="G1225">SUMPRODUCT(("T_C-FC-H2O-S1"=[1]OUT_TransportEnergyCons!$A$3:$A$1000)*1,("var_fout"=[1]OUT_TransportEnergyCons!$B$3:$B$1000)*1,ISNUMBER(SEARCH("TPCAR",[1]OUT_TransportEnergyCons!$C$3:$C$1000))*1,[1]OUT_TransportEnergyCons!E$3:E$1000)</f>
        <v>1.830775567329305E-5</v>
      </c>
      <c r="H1225" s="1" cm="1">
        <f t="array" ref="H1225">SUMPRODUCT(("T_C-FC-H2O-S1"=[1]OUT_TransportEnergyCons!$A$3:$A$1000)*1,("var_fout"=[1]OUT_TransportEnergyCons!$B$3:$B$1000)*1,ISNUMBER(SEARCH("TPCAR",[1]OUT_TransportEnergyCons!$C$3:$C$1000))*1,[1]OUT_TransportEnergyCons!F$3:F$1000)</f>
        <v>2.9862455825287678E-5</v>
      </c>
      <c r="I1225" s="1" cm="1">
        <f t="array" ref="I1225">SUMPRODUCT(("T_C-FC-H2O-S1"=[1]OUT_TransportEnergyCons!$A$3:$A$1000)*1,("var_fout"=[1]OUT_TransportEnergyCons!$B$3:$B$1000)*1,ISNUMBER(SEARCH("TPCAR",[1]OUT_TransportEnergyCons!$C$3:$C$1000))*1,[1]OUT_TransportEnergyCons!G$3:G$1000)</f>
        <v>1.7897144546231573E-5</v>
      </c>
      <c r="J1225" s="1" cm="1">
        <f t="array" ref="J1225">SUMPRODUCT(("T_C-FC-H2O-S1"=[1]OUT_TransportEnergyCons!$A$3:$A$1000)*1,("var_fout"=[1]OUT_TransportEnergyCons!$B$3:$B$1000)*1,ISNUMBER(SEARCH("TPCAR",[1]OUT_TransportEnergyCons!$C$3:$C$1000))*1,[1]OUT_TransportEnergyCons!H$3:H$1000)</f>
        <v>2.759535706318967E-5</v>
      </c>
      <c r="K1225" s="1" cm="1">
        <f t="array" ref="K1225">SUMPRODUCT(("T_C-FC-H2O-S1"=[1]OUT_TransportEnergyCons!$A$3:$A$1000)*1,("var_fout"=[1]OUT_TransportEnergyCons!$B$3:$B$1000)*1,ISNUMBER(SEARCH("TPCAR",[1]OUT_TransportEnergyCons!$C$3:$C$1000))*1,[1]OUT_TransportEnergyCons!I$3:I$1000)</f>
        <v>2.2983181695407404E-5</v>
      </c>
    </row>
    <row r="1226" spans="2:11" x14ac:dyDescent="0.35">
      <c r="B1226" s="5" t="str">
        <f t="shared" si="771"/>
        <v>SPS4</v>
      </c>
      <c r="C1226" s="5" t="str">
        <f t="shared" si="774"/>
        <v>CH</v>
      </c>
      <c r="D1226" t="s">
        <v>1148</v>
      </c>
      <c r="E1226" t="str">
        <f t="shared" si="773"/>
        <v>billion km/yr.</v>
      </c>
      <c r="F1226" s="1" cm="1">
        <f t="array" ref="F1226">SUMPRODUCT(("T_C-FC-H2O-S2"=[1]OUT_TransportEnergyCons!$A$3:$A$1000)*1,("var_fout"=[1]OUT_TransportEnergyCons!$B$3:$B$1000)*1,ISNUMBER(SEARCH("TPCAR",[1]OUT_TransportEnergyCons!$C$3:$C$1000))*1,[1]OUT_TransportEnergyCons!D$3:D$1000)</f>
        <v>7.3516334219729372E-5</v>
      </c>
      <c r="G1226" s="1" cm="1">
        <f t="array" ref="G1226">SUMPRODUCT(("T_C-FC-H2O-S2"=[1]OUT_TransportEnergyCons!$A$3:$A$1000)*1,("var_fout"=[1]OUT_TransportEnergyCons!$B$3:$B$1000)*1,ISNUMBER(SEARCH("TPCAR",[1]OUT_TransportEnergyCons!$C$3:$C$1000))*1,[1]OUT_TransportEnergyCons!E$3:E$1000)</f>
        <v>9.7534529298457662E-5</v>
      </c>
      <c r="H1226" s="1" cm="1">
        <f t="array" ref="H1226">SUMPRODUCT(("T_C-FC-H2O-S2"=[1]OUT_TransportEnergyCons!$A$3:$A$1000)*1,("var_fout"=[1]OUT_TransportEnergyCons!$B$3:$B$1000)*1,ISNUMBER(SEARCH("TPCAR",[1]OUT_TransportEnergyCons!$C$3:$C$1000))*1,[1]OUT_TransportEnergyCons!F$3:F$1000)</f>
        <v>1.0878292377386665E-4</v>
      </c>
      <c r="I1226" s="1" cm="1">
        <f t="array" ref="I1226">SUMPRODUCT(("T_C-FC-H2O-S2"=[1]OUT_TransportEnergyCons!$A$3:$A$1000)*1,("var_fout"=[1]OUT_TransportEnergyCons!$B$3:$B$1000)*1,ISNUMBER(SEARCH("TPCAR",[1]OUT_TransportEnergyCons!$C$3:$C$1000))*1,[1]OUT_TransportEnergyCons!G$3:G$1000)</f>
        <v>4.2972236493942161E-5</v>
      </c>
      <c r="J1226" s="1" cm="1">
        <f t="array" ref="J1226">SUMPRODUCT(("T_C-FC-H2O-S2"=[1]OUT_TransportEnergyCons!$A$3:$A$1000)*1,("var_fout"=[1]OUT_TransportEnergyCons!$B$3:$B$1000)*1,ISNUMBER(SEARCH("TPCAR",[1]OUT_TransportEnergyCons!$C$3:$C$1000))*1,[1]OUT_TransportEnergyCons!H$3:H$1000)</f>
        <v>3.8971558545273817E-5</v>
      </c>
      <c r="K1226" s="1" cm="1">
        <f t="array" ref="K1226">SUMPRODUCT(("T_C-FC-H2O-S2"=[1]OUT_TransportEnergyCons!$A$3:$A$1000)*1,("var_fout"=[1]OUT_TransportEnergyCons!$B$3:$B$1000)*1,ISNUMBER(SEARCH("TPCAR",[1]OUT_TransportEnergyCons!$C$3:$C$1000))*1,[1]OUT_TransportEnergyCons!I$3:I$1000)</f>
        <v>3.7346537433620303E-5</v>
      </c>
    </row>
    <row r="1227" spans="2:11" x14ac:dyDescent="0.35">
      <c r="B1227" s="5" t="str">
        <f t="shared" si="771"/>
        <v>SPS4</v>
      </c>
      <c r="C1227" s="5" t="str">
        <f t="shared" si="774"/>
        <v>CH</v>
      </c>
      <c r="D1227" t="s">
        <v>1149</v>
      </c>
      <c r="E1227" t="str">
        <f t="shared" si="773"/>
        <v>billion km/yr.</v>
      </c>
      <c r="F1227" s="1" cm="1">
        <f t="array" ref="F1227">SUMPRODUCT(("T_C-FC-H2O-S3"=[1]OUT_TransportEnergyCons!$A$3:$A$1000)*1,("var_fout"=[1]OUT_TransportEnergyCons!$B$3:$B$1000)*1,ISNUMBER(SEARCH("TPCAR",[1]OUT_TransportEnergyCons!$C$3:$C$1000))*1,[1]OUT_TransportEnergyCons!D$3:D$1000)</f>
        <v>6.3387278511204868E-4</v>
      </c>
      <c r="G1227" s="1" cm="1">
        <f t="array" ref="G1227">SUMPRODUCT(("T_C-FC-H2O-S3"=[1]OUT_TransportEnergyCons!$A$3:$A$1000)*1,("var_fout"=[1]OUT_TransportEnergyCons!$B$3:$B$1000)*1,ISNUMBER(SEARCH("TPCAR",[1]OUT_TransportEnergyCons!$C$3:$C$1000))*1,[1]OUT_TransportEnergyCons!E$3:E$1000)</f>
        <v>1.5512855423787557E-3</v>
      </c>
      <c r="H1227" s="1" cm="1">
        <f t="array" ref="H1227">SUMPRODUCT(("T_C-FC-H2O-S3"=[1]OUT_TransportEnergyCons!$A$3:$A$1000)*1,("var_fout"=[1]OUT_TransportEnergyCons!$B$3:$B$1000)*1,ISNUMBER(SEARCH("TPCAR",[1]OUT_TransportEnergyCons!$C$3:$C$1000))*1,[1]OUT_TransportEnergyCons!F$3:F$1000)</f>
        <v>1.4603523486079204E-3</v>
      </c>
      <c r="I1227" s="1" cm="1">
        <f t="array" ref="I1227">SUMPRODUCT(("T_C-FC-H2O-S3"=[1]OUT_TransportEnergyCons!$A$3:$A$1000)*1,("var_fout"=[1]OUT_TransportEnergyCons!$B$3:$B$1000)*1,ISNUMBER(SEARCH("TPCAR",[1]OUT_TransportEnergyCons!$C$3:$C$1000))*1,[1]OUT_TransportEnergyCons!G$3:G$1000)</f>
        <v>9.5790905929559616E-5</v>
      </c>
      <c r="J1227" s="1" cm="1">
        <f t="array" ref="J1227">SUMPRODUCT(("T_C-FC-H2O-S3"=[1]OUT_TransportEnergyCons!$A$3:$A$1000)*1,("var_fout"=[1]OUT_TransportEnergyCons!$B$3:$B$1000)*1,ISNUMBER(SEARCH("TPCAR",[1]OUT_TransportEnergyCons!$C$3:$C$1000))*1,[1]OUT_TransportEnergyCons!H$3:H$1000)</f>
        <v>3.8689617207691851E-5</v>
      </c>
      <c r="K1227" s="1" cm="1">
        <f t="array" ref="K1227">SUMPRODUCT(("T_C-FC-H2O-S3"=[1]OUT_TransportEnergyCons!$A$3:$A$1000)*1,("var_fout"=[1]OUT_TransportEnergyCons!$B$3:$B$1000)*1,ISNUMBER(SEARCH("TPCAR",[1]OUT_TransportEnergyCons!$C$3:$C$1000))*1,[1]OUT_TransportEnergyCons!I$3:I$1000)</f>
        <v>4.18863882947758E-5</v>
      </c>
    </row>
    <row r="1228" spans="2:11" x14ac:dyDescent="0.35">
      <c r="B1228" s="5" t="str">
        <f t="shared" si="771"/>
        <v>SPS4</v>
      </c>
      <c r="C1228" s="5" t="str">
        <f t="shared" si="774"/>
        <v>CH</v>
      </c>
      <c r="D1228" t="s">
        <v>1150</v>
      </c>
      <c r="E1228" t="str">
        <f t="shared" si="773"/>
        <v>billion km/yr.</v>
      </c>
      <c r="F1228" s="1" cm="1">
        <f t="array" ref="F1228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28" s="1" cm="1">
        <f t="array" ref="G1228">SUMPRODUCT(("T_C-FC-H2O-S4"=[1]OUT_TransportEnergyCons!$A$3:$A$1000)*1,("var_fout"=[1]OUT_TransportEnergyCons!$B$3:$B$1000)*1,ISNUMBER(SEARCH("TPCAR",[1]OUT_TransportEnergyCons!$C$3:$C$1000))*1,[1]OUT_TransportEnergyCons!E$3:E$1000)</f>
        <v>1.7261503944005205E-5</v>
      </c>
      <c r="H1228" s="1" cm="1">
        <f t="array" ref="H1228">SUMPRODUCT(("T_C-FC-H2O-S4"=[1]OUT_TransportEnergyCons!$A$3:$A$1000)*1,("var_fout"=[1]OUT_TransportEnergyCons!$B$3:$B$1000)*1,ISNUMBER(SEARCH("TPCAR",[1]OUT_TransportEnergyCons!$C$3:$C$1000))*1,[1]OUT_TransportEnergyCons!F$3:F$1000)</f>
        <v>3.0084269050218159E-5</v>
      </c>
      <c r="I1228" s="1" cm="1">
        <f t="array" ref="I1228">SUMPRODUCT(("T_C-FC-H2O-S4"=[1]OUT_TransportEnergyCons!$A$3:$A$1000)*1,("var_fout"=[1]OUT_TransportEnergyCons!$B$3:$B$1000)*1,ISNUMBER(SEARCH("TPCAR",[1]OUT_TransportEnergyCons!$C$3:$C$1000))*1,[1]OUT_TransportEnergyCons!G$3:G$1000)</f>
        <v>2.9932373104549146E-5</v>
      </c>
      <c r="J1228" s="1" cm="1">
        <f t="array" ref="J1228">SUMPRODUCT(("T_C-FC-H2O-S4"=[1]OUT_TransportEnergyCons!$A$3:$A$1000)*1,("var_fout"=[1]OUT_TransportEnergyCons!$B$3:$B$1000)*1,ISNUMBER(SEARCH("TPCAR",[1]OUT_TransportEnergyCons!$C$3:$C$1000))*1,[1]OUT_TransportEnergyCons!H$3:H$1000)</f>
        <v>3.9610950615475445E-5</v>
      </c>
      <c r="K1228" s="1" cm="1">
        <f t="array" ref="K1228">SUMPRODUCT(("T_C-FC-H2O-S4"=[1]OUT_TransportEnergyCons!$A$3:$A$1000)*1,("var_fout"=[1]OUT_TransportEnergyCons!$B$3:$B$1000)*1,ISNUMBER(SEARCH("TPCAR",[1]OUT_TransportEnergyCons!$C$3:$C$1000))*1,[1]OUT_TransportEnergyCons!I$3:I$1000)</f>
        <v>4.6571410930518215E-5</v>
      </c>
    </row>
    <row r="1229" spans="2:11" x14ac:dyDescent="0.35">
      <c r="B1229" s="5" t="str">
        <f t="shared" si="771"/>
        <v>SPS4</v>
      </c>
      <c r="C1229" s="5" t="str">
        <f t="shared" si="774"/>
        <v>CH</v>
      </c>
      <c r="D1229" t="s">
        <v>1234</v>
      </c>
      <c r="E1229" t="str">
        <f t="shared" si="773"/>
        <v>billion km/yr.</v>
      </c>
      <c r="F1229" s="1" cm="1">
        <f t="array" ref="F1229">SUMPRODUCT(("T_C-HYBGSLEXT"=[1]OUT_TransportEnergyCons!$A$3:$A$1000)*1,("var_fout"=[1]OUT_TransportEnergyCons!$B$3:$B$1000)*1,ISNUMBER(SEARCH("TPCAR",[1]OUT_TransportEnergyCons!$C$3:$C$1000))*1,[1]OUT_TransportEnergyCons!D$3:D$1000)</f>
        <v>0.61925583023099373</v>
      </c>
      <c r="G1229" s="1" cm="1">
        <f t="array" ref="G1229">SUMPRODUCT(("T_C-HYBGSLEXT"=[1]OUT_TransportEnergyCons!$A$3:$A$1000)*1,("var_fout"=[1]OUT_TransportEnergyCons!$B$3:$B$1000)*1,ISNUMBER(SEARCH("TPCAR",[1]OUT_TransportEnergyCons!$C$3:$C$1000))*1,[1]OUT_TransportEnergyCons!E$3:E$1000)</f>
        <v>0.62769505809597459</v>
      </c>
      <c r="H1229" s="1" cm="1">
        <f t="array" ref="H1229">SUMPRODUCT(("T_C-HYBGSLEXT"=[1]OUT_TransportEnergyCons!$A$3:$A$1000)*1,("var_fout"=[1]OUT_TransportEnergyCons!$B$3:$B$1000)*1,ISNUMBER(SEARCH("TPCAR",[1]OUT_TransportEnergyCons!$C$3:$C$1000))*1,[1]OUT_TransportEnergyCons!F$3:F$1000)</f>
        <v>0.48284556185653238</v>
      </c>
      <c r="I1229" s="1" cm="1">
        <f t="array" ref="I1229">SUMPRODUCT(("T_C-HYBGSLEXT"=[1]OUT_TransportEnergyCons!$A$3:$A$1000)*1,("var_fout"=[1]OUT_TransportEnergyCons!$B$3:$B$1000)*1,ISNUMBER(SEARCH("TPCAR",[1]OUT_TransportEnergyCons!$C$3:$C$1000))*1,[1]OUT_TransportEnergyCons!G$3:G$1000)</f>
        <v>0.24142875146155002</v>
      </c>
      <c r="J1229" s="1" cm="1">
        <f t="array" ref="J1229">SUMPRODUCT(("T_C-HYBGSLEXT"=[1]OUT_TransportEnergyCons!$A$3:$A$1000)*1,("var_fout"=[1]OUT_TransportEnergyCons!$B$3:$B$1000)*1,ISNUMBER(SEARCH("TPCAR",[1]OUT_TransportEnergyCons!$C$3:$C$1000))*1,[1]OUT_TransportEnergyCons!H$3:H$1000)</f>
        <v>0</v>
      </c>
      <c r="K1229" s="1" cm="1">
        <f t="array" ref="K1229">SUMPRODUCT(("T_C-HYBGSLEXT"=[1]OUT_TransportEnergyCons!$A$3:$A$1000)*1,("var_fout"=[1]OUT_TransportEnergyCons!$B$3:$B$1000)*1,ISNUMBER(SEARCH("TPCAR",[1]OUT_TransportEnergyCons!$C$3:$C$1000))*1,[1]OUT_TransportEnergyCons!I$3:I$1000)</f>
        <v>0</v>
      </c>
    </row>
    <row r="1230" spans="2:11" x14ac:dyDescent="0.35">
      <c r="B1230" s="5" t="str">
        <f t="shared" si="771"/>
        <v>SPS4</v>
      </c>
      <c r="C1230" s="5" t="str">
        <f t="shared" si="774"/>
        <v>CH</v>
      </c>
      <c r="D1230" t="s">
        <v>1151</v>
      </c>
      <c r="E1230" t="str">
        <f t="shared" si="773"/>
        <v>billion km/yr.</v>
      </c>
      <c r="F1230" s="1" cm="1">
        <f t="array" ref="F1230">SUMPRODUCT(("T_C-HY-GSL-S1"=[1]OUT_TransportEnergyCons!$A$3:$A$1000)*1,("var_fout"=[1]OUT_TransportEnergyCons!$B$3:$B$1000)*1,ISNUMBER(SEARCH("TPCAR",[1]OUT_TransportEnergyCons!$C$3:$C$1000))*1,[1]OUT_TransportEnergyCons!D$3:D$1000)</f>
        <v>5.1922488381444531E-2</v>
      </c>
      <c r="G1230" s="1" cm="1">
        <f t="array" ref="G1230">SUMPRODUCT(("T_C-HY-GSL-S1"=[1]OUT_TransportEnergyCons!$A$3:$A$1000)*1,("var_fout"=[1]OUT_TransportEnergyCons!$B$3:$B$1000)*1,ISNUMBER(SEARCH("TPCAR",[1]OUT_TransportEnergyCons!$C$3:$C$1000))*1,[1]OUT_TransportEnergyCons!E$3:E$1000)</f>
        <v>6.2734869915926722E-2</v>
      </c>
      <c r="H1230" s="1" cm="1">
        <f t="array" ref="H1230">SUMPRODUCT(("T_C-HY-GSL-S1"=[1]OUT_TransportEnergyCons!$A$3:$A$1000)*1,("var_fout"=[1]OUT_TransportEnergyCons!$B$3:$B$1000)*1,ISNUMBER(SEARCH("TPCAR",[1]OUT_TransportEnergyCons!$C$3:$C$1000))*1,[1]OUT_TransportEnergyCons!F$3:F$1000)</f>
        <v>4.4677873368219177E-2</v>
      </c>
      <c r="I1230" s="1" cm="1">
        <f t="array" ref="I1230">SUMPRODUCT(("T_C-HY-GSL-S1"=[1]OUT_TransportEnergyCons!$A$3:$A$1000)*1,("var_fout"=[1]OUT_TransportEnergyCons!$B$3:$B$1000)*1,ISNUMBER(SEARCH("TPCAR",[1]OUT_TransportEnergyCons!$C$3:$C$1000))*1,[1]OUT_TransportEnergyCons!G$3:G$1000)</f>
        <v>3.5883872249628419E-2</v>
      </c>
      <c r="J1230" s="1" cm="1">
        <f t="array" ref="J1230">SUMPRODUCT(("T_C-HY-GSL-S1"=[1]OUT_TransportEnergyCons!$A$3:$A$1000)*1,("var_fout"=[1]OUT_TransportEnergyCons!$B$3:$B$1000)*1,ISNUMBER(SEARCH("TPCAR",[1]OUT_TransportEnergyCons!$C$3:$C$1000))*1,[1]OUT_TransportEnergyCons!H$3:H$1000)</f>
        <v>0.78715730804880923</v>
      </c>
      <c r="K1230" s="1" cm="1">
        <f t="array" ref="K1230">SUMPRODUCT(("T_C-HY-GSL-S1"=[1]OUT_TransportEnergyCons!$A$3:$A$1000)*1,("var_fout"=[1]OUT_TransportEnergyCons!$B$3:$B$1000)*1,ISNUMBER(SEARCH("TPCAR",[1]OUT_TransportEnergyCons!$C$3:$C$1000))*1,[1]OUT_TransportEnergyCons!I$3:I$1000)</f>
        <v>0.356330477943822</v>
      </c>
    </row>
    <row r="1231" spans="2:11" x14ac:dyDescent="0.35">
      <c r="B1231" s="5" t="str">
        <f t="shared" si="771"/>
        <v>SPS4</v>
      </c>
      <c r="C1231" s="5" t="str">
        <f t="shared" si="774"/>
        <v>CH</v>
      </c>
      <c r="D1231" t="s">
        <v>1152</v>
      </c>
      <c r="E1231" t="str">
        <f t="shared" si="773"/>
        <v>billion km/yr.</v>
      </c>
      <c r="F1231" s="1" cm="1">
        <f t="array" ref="F1231">SUMPRODUCT(("T_C-HY-GSL-S2"=[1]OUT_TransportEnergyCons!$A$3:$A$1000)*1,("var_fout"=[1]OUT_TransportEnergyCons!$B$3:$B$1000)*1,ISNUMBER(SEARCH("TPCAR",[1]OUT_TransportEnergyCons!$C$3:$C$1000))*1,[1]OUT_TransportEnergyCons!D$3:D$1000)</f>
        <v>0.22166183019532265</v>
      </c>
      <c r="G1231" s="1" cm="1">
        <f t="array" ref="G1231">SUMPRODUCT(("T_C-HY-GSL-S2"=[1]OUT_TransportEnergyCons!$A$3:$A$1000)*1,("var_fout"=[1]OUT_TransportEnergyCons!$B$3:$B$1000)*1,ISNUMBER(SEARCH("TPCAR",[1]OUT_TransportEnergyCons!$C$3:$C$1000))*1,[1]OUT_TransportEnergyCons!E$3:E$1000)</f>
        <v>0.49866660974746269</v>
      </c>
      <c r="H1231" s="1" cm="1">
        <f t="array" ref="H1231">SUMPRODUCT(("T_C-HY-GSL-S2"=[1]OUT_TransportEnergyCons!$A$3:$A$1000)*1,("var_fout"=[1]OUT_TransportEnergyCons!$B$3:$B$1000)*1,ISNUMBER(SEARCH("TPCAR",[1]OUT_TransportEnergyCons!$C$3:$C$1000))*1,[1]OUT_TransportEnergyCons!F$3:F$1000)</f>
        <v>1.1732714915827014</v>
      </c>
      <c r="I1231" s="1" cm="1">
        <f t="array" ref="I1231">SUMPRODUCT(("T_C-HY-GSL-S2"=[1]OUT_TransportEnergyCons!$A$3:$A$1000)*1,("var_fout"=[1]OUT_TransportEnergyCons!$B$3:$B$1000)*1,ISNUMBER(SEARCH("TPCAR",[1]OUT_TransportEnergyCons!$C$3:$C$1000))*1,[1]OUT_TransportEnergyCons!G$3:G$1000)</f>
        <v>0.99484041339518448</v>
      </c>
      <c r="J1231" s="1" cm="1">
        <f t="array" ref="J1231">SUMPRODUCT(("T_C-HY-GSL-S2"=[1]OUT_TransportEnergyCons!$A$3:$A$1000)*1,("var_fout"=[1]OUT_TransportEnergyCons!$B$3:$B$1000)*1,ISNUMBER(SEARCH("TPCAR",[1]OUT_TransportEnergyCons!$C$3:$C$1000))*1,[1]OUT_TransportEnergyCons!H$3:H$1000)</f>
        <v>0.80219410773663069</v>
      </c>
      <c r="K1231" s="1" cm="1">
        <f t="array" ref="K1231">SUMPRODUCT(("T_C-HY-GSL-S2"=[1]OUT_TransportEnergyCons!$A$3:$A$1000)*1,("var_fout"=[1]OUT_TransportEnergyCons!$B$3:$B$1000)*1,ISNUMBER(SEARCH("TPCAR",[1]OUT_TransportEnergyCons!$C$3:$C$1000))*1,[1]OUT_TransportEnergyCons!I$3:I$1000)</f>
        <v>1.1898648867572719</v>
      </c>
    </row>
    <row r="1232" spans="2:11" x14ac:dyDescent="0.35">
      <c r="B1232" s="5" t="str">
        <f t="shared" si="771"/>
        <v>SPS4</v>
      </c>
      <c r="C1232" s="5" t="str">
        <f t="shared" si="774"/>
        <v>CH</v>
      </c>
      <c r="D1232" t="s">
        <v>1153</v>
      </c>
      <c r="E1232" t="str">
        <f t="shared" si="773"/>
        <v>billion km/yr.</v>
      </c>
      <c r="F1232" s="1" cm="1">
        <f t="array" ref="F1232">SUMPRODUCT(("T_C-HY-GSL-S3"=[1]OUT_TransportEnergyCons!$A$3:$A$1000)*1,("var_fout"=[1]OUT_TransportEnergyCons!$B$3:$B$1000)*1,ISNUMBER(SEARCH("TPCAR",[1]OUT_TransportEnergyCons!$C$3:$C$1000))*1,[1]OUT_TransportEnergyCons!D$3:D$1000)</f>
        <v>0.20245849475032279</v>
      </c>
      <c r="G1232" s="1" cm="1">
        <f t="array" ref="G1232">SUMPRODUCT(("T_C-HY-GSL-S3"=[1]OUT_TransportEnergyCons!$A$3:$A$1000)*1,("var_fout"=[1]OUT_TransportEnergyCons!$B$3:$B$1000)*1,ISNUMBER(SEARCH("TPCAR",[1]OUT_TransportEnergyCons!$C$3:$C$1000))*1,[1]OUT_TransportEnergyCons!E$3:E$1000)</f>
        <v>3.0391146257130672</v>
      </c>
      <c r="H1232" s="1" cm="1">
        <f t="array" ref="H1232">SUMPRODUCT(("T_C-HY-GSL-S3"=[1]OUT_TransportEnergyCons!$A$3:$A$1000)*1,("var_fout"=[1]OUT_TransportEnergyCons!$B$3:$B$1000)*1,ISNUMBER(SEARCH("TPCAR",[1]OUT_TransportEnergyCons!$C$3:$C$1000))*1,[1]OUT_TransportEnergyCons!F$3:F$1000)</f>
        <v>2.8712196518679729</v>
      </c>
      <c r="I1232" s="1" cm="1">
        <f t="array" ref="I1232">SUMPRODUCT(("T_C-HY-GSL-S3"=[1]OUT_TransportEnergyCons!$A$3:$A$1000)*1,("var_fout"=[1]OUT_TransportEnergyCons!$B$3:$B$1000)*1,ISNUMBER(SEARCH("TPCAR",[1]OUT_TransportEnergyCons!$C$3:$C$1000))*1,[1]OUT_TransportEnergyCons!G$3:G$1000)</f>
        <v>2.3117296712886195</v>
      </c>
      <c r="J1232" s="1" cm="1">
        <f t="array" ref="J1232">SUMPRODUCT(("T_C-HY-GSL-S3"=[1]OUT_TransportEnergyCons!$A$3:$A$1000)*1,("var_fout"=[1]OUT_TransportEnergyCons!$B$3:$B$1000)*1,ISNUMBER(SEARCH("TPCAR",[1]OUT_TransportEnergyCons!$C$3:$C$1000))*1,[1]OUT_TransportEnergyCons!H$3:H$1000)</f>
        <v>7.5654863973732595E-4</v>
      </c>
      <c r="K1232" s="1" cm="1">
        <f t="array" ref="K1232">SUMPRODUCT(("T_C-HY-GSL-S3"=[1]OUT_TransportEnergyCons!$A$3:$A$1000)*1,("var_fout"=[1]OUT_TransportEnergyCons!$B$3:$B$1000)*1,ISNUMBER(SEARCH("TPCAR",[1]OUT_TransportEnergyCons!$C$3:$C$1000))*1,[1]OUT_TransportEnergyCons!I$3:I$1000)</f>
        <v>5.0143672623643315E-4</v>
      </c>
    </row>
    <row r="1233" spans="2:11" x14ac:dyDescent="0.35">
      <c r="B1233" s="5" t="str">
        <f t="shared" si="771"/>
        <v>SPS4</v>
      </c>
      <c r="C1233" s="5" t="str">
        <f t="shared" si="774"/>
        <v>CH</v>
      </c>
      <c r="D1233" t="s">
        <v>1154</v>
      </c>
      <c r="E1233" t="str">
        <f t="shared" si="773"/>
        <v>billion km/yr.</v>
      </c>
      <c r="F1233" s="1" cm="1">
        <f t="array" ref="F1233">SUMPRODUCT(("T_C-HY-GSL-S4"=[1]OUT_TransportEnergyCons!$A$3:$A$1000)*1,("var_fout"=[1]OUT_TransportEnergyCons!$B$3:$B$1000)*1,ISNUMBER(SEARCH("TPCAR",[1]OUT_TransportEnergyCons!$C$3:$C$1000))*1,[1]OUT_TransportEnergyCons!D$3:D$1000)</f>
        <v>0.1039096433642443</v>
      </c>
      <c r="G1233" s="1" cm="1">
        <f t="array" ref="G1233">SUMPRODUCT(("T_C-HY-GSL-S4"=[1]OUT_TransportEnergyCons!$A$3:$A$1000)*1,("var_fout"=[1]OUT_TransportEnergyCons!$B$3:$B$1000)*1,ISNUMBER(SEARCH("TPCAR",[1]OUT_TransportEnergyCons!$C$3:$C$1000))*1,[1]OUT_TransportEnergyCons!E$3:E$1000)</f>
        <v>0.1798455477295389</v>
      </c>
      <c r="H1233" s="1" cm="1">
        <f t="array" ref="H1233">SUMPRODUCT(("T_C-HY-GSL-S4"=[1]OUT_TransportEnergyCons!$A$3:$A$1000)*1,("var_fout"=[1]OUT_TransportEnergyCons!$B$3:$B$1000)*1,ISNUMBER(SEARCH("TPCAR",[1]OUT_TransportEnergyCons!$C$3:$C$1000))*1,[1]OUT_TransportEnergyCons!F$3:F$1000)</f>
        <v>0.17225295777918367</v>
      </c>
      <c r="I1233" s="1" cm="1">
        <f t="array" ref="I1233">SUMPRODUCT(("T_C-HY-GSL-S4"=[1]OUT_TransportEnergyCons!$A$3:$A$1000)*1,("var_fout"=[1]OUT_TransportEnergyCons!$B$3:$B$1000)*1,ISNUMBER(SEARCH("TPCAR",[1]OUT_TransportEnergyCons!$C$3:$C$1000))*1,[1]OUT_TransportEnergyCons!G$3:G$1000)</f>
        <v>0.14453489911290091</v>
      </c>
      <c r="J1233" s="1" cm="1">
        <f t="array" ref="J1233">SUMPRODUCT(("T_C-HY-GSL-S4"=[1]OUT_TransportEnergyCons!$A$3:$A$1000)*1,("var_fout"=[1]OUT_TransportEnergyCons!$B$3:$B$1000)*1,ISNUMBER(SEARCH("TPCAR",[1]OUT_TransportEnergyCons!$C$3:$C$1000))*1,[1]OUT_TransportEnergyCons!H$3:H$1000)</f>
        <v>9.8294469553147066E-4</v>
      </c>
      <c r="K1233" s="1" cm="1">
        <f t="array" ref="K1233">SUMPRODUCT(("T_C-HY-GSL-S4"=[1]OUT_TransportEnergyCons!$A$3:$A$1000)*1,("var_fout"=[1]OUT_TransportEnergyCons!$B$3:$B$1000)*1,ISNUMBER(SEARCH("TPCAR",[1]OUT_TransportEnergyCons!$C$3:$C$1000))*1,[1]OUT_TransportEnergyCons!I$3:I$1000)</f>
        <v>1.6753747778164669E-3</v>
      </c>
    </row>
    <row r="1234" spans="2:11" x14ac:dyDescent="0.35">
      <c r="B1234" s="5" t="str">
        <f t="shared" si="771"/>
        <v>SPS4</v>
      </c>
      <c r="C1234" s="5" t="str">
        <f t="shared" si="774"/>
        <v>CH</v>
      </c>
      <c r="D1234" t="s">
        <v>1155</v>
      </c>
      <c r="E1234" t="str">
        <f t="shared" si="773"/>
        <v>billion km/yr.</v>
      </c>
      <c r="F1234" s="1" cm="1">
        <f t="array" ref="F1234">SUMPRODUCT(("T_C-ICEGSLEXT"=[1]OUT_TransportEnergyCons!$A$3:$A$1000)*1,("var_fout"=[1]OUT_TransportEnergyCons!$B$3:$B$1000)*1,ISNUMBER(SEARCH("TPCAR",[1]OUT_TransportEnergyCons!$C$3:$C$1000))*1,[1]OUT_TransportEnergyCons!D$3:D$1000)</f>
        <v>18.302988991828318</v>
      </c>
      <c r="G1234" s="1" cm="1">
        <f t="array" ref="G1234">SUMPRODUCT(("T_C-ICEGSLEXT"=[1]OUT_TransportEnergyCons!$A$3:$A$1000)*1,("var_fout"=[1]OUT_TransportEnergyCons!$B$3:$B$1000)*1,ISNUMBER(SEARCH("TPCAR",[1]OUT_TransportEnergyCons!$C$3:$C$1000))*1,[1]OUT_TransportEnergyCons!E$3:E$1000)</f>
        <v>15.293556399723425</v>
      </c>
      <c r="H1234" s="1" cm="1">
        <f t="array" ref="H1234">SUMPRODUCT(("T_C-ICEGSLEXT"=[1]OUT_TransportEnergyCons!$A$3:$A$1000)*1,("var_fout"=[1]OUT_TransportEnergyCons!$B$3:$B$1000)*1,ISNUMBER(SEARCH("TPCAR",[1]OUT_TransportEnergyCons!$C$3:$C$1000))*1,[1]OUT_TransportEnergyCons!F$3:F$1000)</f>
        <v>12.585011991699965</v>
      </c>
      <c r="I1234" s="1" cm="1">
        <f t="array" ref="I1234">SUMPRODUCT(("T_C-ICEGSLEXT"=[1]OUT_TransportEnergyCons!$A$3:$A$1000)*1,("var_fout"=[1]OUT_TransportEnergyCons!$B$3:$B$1000)*1,ISNUMBER(SEARCH("TPCAR",[1]OUT_TransportEnergyCons!$C$3:$C$1000))*1,[1]OUT_TransportEnergyCons!G$3:G$1000)</f>
        <v>3.7733010050885949</v>
      </c>
      <c r="J1234" s="1" cm="1">
        <f t="array" ref="J1234">SUMPRODUCT(("T_C-ICEGSLEXT"=[1]OUT_TransportEnergyCons!$A$3:$A$1000)*1,("var_fout"=[1]OUT_TransportEnergyCons!$B$3:$B$1000)*1,ISNUMBER(SEARCH("TPCAR",[1]OUT_TransportEnergyCons!$C$3:$C$1000))*1,[1]OUT_TransportEnergyCons!H$3:H$1000)</f>
        <v>0</v>
      </c>
      <c r="K1234" s="1" cm="1">
        <f t="array" ref="K1234">SUMPRODUCT(("T_C-ICEGSLEXT"=[1]OUT_TransportEnergyCons!$A$3:$A$1000)*1,("var_fout"=[1]OUT_TransportEnergyCons!$B$3:$B$1000)*1,ISNUMBER(SEARCH("TPCAR",[1]OUT_TransportEnergyCons!$C$3:$C$1000))*1,[1]OUT_TransportEnergyCons!I$3:I$1000)</f>
        <v>0</v>
      </c>
    </row>
    <row r="1235" spans="2:11" x14ac:dyDescent="0.35">
      <c r="B1235" s="5" t="str">
        <f t="shared" si="771"/>
        <v>SPS4</v>
      </c>
      <c r="C1235" s="5" t="str">
        <f t="shared" si="774"/>
        <v>CH</v>
      </c>
      <c r="D1235" t="s">
        <v>1156</v>
      </c>
      <c r="E1235" t="str">
        <f t="shared" si="773"/>
        <v>billion km/yr.</v>
      </c>
      <c r="F1235" s="1" cm="1">
        <f t="array" ref="F1235">SUMPRODUCT(("T_C-ICE-GSL-S1"=[1]OUT_TransportEnergyCons!$A$3:$A$1000)*1,("var_fout"=[1]OUT_TransportEnergyCons!$B$3:$B$1000)*1,ISNUMBER(SEARCH("TPCAR",[1]OUT_TransportEnergyCons!$C$3:$C$1000))*1,[1]OUT_TransportEnergyCons!D$3:D$1000)</f>
        <v>0.33913458644052702</v>
      </c>
      <c r="G1235" s="1" cm="1">
        <f t="array" ref="G1235">SUMPRODUCT(("T_C-ICE-GSL-S1"=[1]OUT_TransportEnergyCons!$A$3:$A$1000)*1,("var_fout"=[1]OUT_TransportEnergyCons!$B$3:$B$1000)*1,ISNUMBER(SEARCH("TPCAR",[1]OUT_TransportEnergyCons!$C$3:$C$1000))*1,[1]OUT_TransportEnergyCons!E$3:E$1000)</f>
        <v>0.37236070668181076</v>
      </c>
      <c r="H1235" s="1" cm="1">
        <f t="array" ref="H1235">SUMPRODUCT(("T_C-ICE-GSL-S1"=[1]OUT_TransportEnergyCons!$A$3:$A$1000)*1,("var_fout"=[1]OUT_TransportEnergyCons!$B$3:$B$1000)*1,ISNUMBER(SEARCH("TPCAR",[1]OUT_TransportEnergyCons!$C$3:$C$1000))*1,[1]OUT_TransportEnergyCons!F$3:F$1000)</f>
        <v>0.65315421767802095</v>
      </c>
      <c r="I1235" s="1" cm="1">
        <f t="array" ref="I1235">SUMPRODUCT(("T_C-ICE-GSL-S1"=[1]OUT_TransportEnergyCons!$A$3:$A$1000)*1,("var_fout"=[1]OUT_TransportEnergyCons!$B$3:$B$1000)*1,ISNUMBER(SEARCH("TPCAR",[1]OUT_TransportEnergyCons!$C$3:$C$1000))*1,[1]OUT_TransportEnergyCons!G$3:G$1000)</f>
        <v>0.54519391346466128</v>
      </c>
      <c r="J1235" s="1" cm="1">
        <f t="array" ref="J1235">SUMPRODUCT(("T_C-ICE-GSL-S1"=[1]OUT_TransportEnergyCons!$A$3:$A$1000)*1,("var_fout"=[1]OUT_TransportEnergyCons!$B$3:$B$1000)*1,ISNUMBER(SEARCH("TPCAR",[1]OUT_TransportEnergyCons!$C$3:$C$1000))*1,[1]OUT_TransportEnergyCons!H$3:H$1000)</f>
        <v>3.405740270856334E-2</v>
      </c>
      <c r="K1235" s="1" cm="1">
        <f t="array" ref="K1235">SUMPRODUCT(("T_C-ICE-GSL-S1"=[1]OUT_TransportEnergyCons!$A$3:$A$1000)*1,("var_fout"=[1]OUT_TransportEnergyCons!$B$3:$B$1000)*1,ISNUMBER(SEARCH("TPCAR",[1]OUT_TransportEnergyCons!$C$3:$C$1000))*1,[1]OUT_TransportEnergyCons!I$3:I$1000)</f>
        <v>2.5676784260285059E-4</v>
      </c>
    </row>
    <row r="1236" spans="2:11" x14ac:dyDescent="0.35">
      <c r="B1236" s="5" t="str">
        <f t="shared" si="771"/>
        <v>SPS4</v>
      </c>
      <c r="C1236" s="5" t="str">
        <f t="shared" si="774"/>
        <v>CH</v>
      </c>
      <c r="D1236" t="s">
        <v>1157</v>
      </c>
      <c r="E1236" t="str">
        <f t="shared" si="773"/>
        <v>billion km/yr.</v>
      </c>
      <c r="F1236" s="1" cm="1">
        <f t="array" ref="F1236">SUMPRODUCT(("T_C-ICE-GSL-S2"=[1]OUT_TransportEnergyCons!$A$3:$A$1000)*1,("var_fout"=[1]OUT_TransportEnergyCons!$B$3:$B$1000)*1,ISNUMBER(SEARCH("TPCAR",[1]OUT_TransportEnergyCons!$C$3:$C$1000))*1,[1]OUT_TransportEnergyCons!D$3:D$1000)</f>
        <v>2.2806082788695625</v>
      </c>
      <c r="G1236" s="1" cm="1">
        <f t="array" ref="G1236">SUMPRODUCT(("T_C-ICE-GSL-S2"=[1]OUT_TransportEnergyCons!$A$3:$A$1000)*1,("var_fout"=[1]OUT_TransportEnergyCons!$B$3:$B$1000)*1,ISNUMBER(SEARCH("TPCAR",[1]OUT_TransportEnergyCons!$C$3:$C$1000))*1,[1]OUT_TransportEnergyCons!E$3:E$1000)</f>
        <v>3.2079086547897839</v>
      </c>
      <c r="H1236" s="1" cm="1">
        <f t="array" ref="H1236">SUMPRODUCT(("T_C-ICE-GSL-S2"=[1]OUT_TransportEnergyCons!$A$3:$A$1000)*1,("var_fout"=[1]OUT_TransportEnergyCons!$B$3:$B$1000)*1,ISNUMBER(SEARCH("TPCAR",[1]OUT_TransportEnergyCons!$C$3:$C$1000))*1,[1]OUT_TransportEnergyCons!F$3:F$1000)</f>
        <v>3.1899310049154685</v>
      </c>
      <c r="I1236" s="1" cm="1">
        <f t="array" ref="I1236">SUMPRODUCT(("T_C-ICE-GSL-S2"=[1]OUT_TransportEnergyCons!$A$3:$A$1000)*1,("var_fout"=[1]OUT_TransportEnergyCons!$B$3:$B$1000)*1,ISNUMBER(SEARCH("TPCAR",[1]OUT_TransportEnergyCons!$C$3:$C$1000))*1,[1]OUT_TransportEnergyCons!G$3:G$1000)</f>
        <v>2.5239666714563125</v>
      </c>
      <c r="J1236" s="1" cm="1">
        <f t="array" ref="J1236">SUMPRODUCT(("T_C-ICE-GSL-S2"=[1]OUT_TransportEnergyCons!$A$3:$A$1000)*1,("var_fout"=[1]OUT_TransportEnergyCons!$B$3:$B$1000)*1,ISNUMBER(SEARCH("TPCAR",[1]OUT_TransportEnergyCons!$C$3:$C$1000))*1,[1]OUT_TransportEnergyCons!H$3:H$1000)</f>
        <v>3.3880271579705464E-3</v>
      </c>
      <c r="K1236" s="1" cm="1">
        <f t="array" ref="K1236">SUMPRODUCT(("T_C-ICE-GSL-S2"=[1]OUT_TransportEnergyCons!$A$3:$A$1000)*1,("var_fout"=[1]OUT_TransportEnergyCons!$B$3:$B$1000)*1,ISNUMBER(SEARCH("TPCAR",[1]OUT_TransportEnergyCons!$C$3:$C$1000))*1,[1]OUT_TransportEnergyCons!I$3:I$1000)</f>
        <v>5.2169084238447804E-4</v>
      </c>
    </row>
    <row r="1237" spans="2:11" x14ac:dyDescent="0.35">
      <c r="B1237" s="5" t="str">
        <f t="shared" si="771"/>
        <v>SPS4</v>
      </c>
      <c r="C1237" s="5" t="str">
        <f t="shared" si="774"/>
        <v>CH</v>
      </c>
      <c r="D1237" t="s">
        <v>1158</v>
      </c>
      <c r="E1237" t="str">
        <f t="shared" si="773"/>
        <v>billion km/yr.</v>
      </c>
      <c r="F1237" s="1" cm="1">
        <f t="array" ref="F1237">SUMPRODUCT(("T_C-ICE-GSL-S3"=[1]OUT_TransportEnergyCons!$A$3:$A$1000)*1,("var_fout"=[1]OUT_TransportEnergyCons!$B$3:$B$1000)*1,ISNUMBER(SEARCH("TPCAR",[1]OUT_TransportEnergyCons!$C$3:$C$1000))*1,[1]OUT_TransportEnergyCons!D$3:D$1000)</f>
        <v>1.9495841660202786</v>
      </c>
      <c r="G1237" s="1" cm="1">
        <f t="array" ref="G1237">SUMPRODUCT(("T_C-ICE-GSL-S3"=[1]OUT_TransportEnergyCons!$A$3:$A$1000)*1,("var_fout"=[1]OUT_TransportEnergyCons!$B$3:$B$1000)*1,ISNUMBER(SEARCH("TPCAR",[1]OUT_TransportEnergyCons!$C$3:$C$1000))*1,[1]OUT_TransportEnergyCons!E$3:E$1000)</f>
        <v>2.9623835668092817</v>
      </c>
      <c r="H1237" s="1" cm="1">
        <f t="array" ref="H1237">SUMPRODUCT(("T_C-ICE-GSL-S3"=[1]OUT_TransportEnergyCons!$A$3:$A$1000)*1,("var_fout"=[1]OUT_TransportEnergyCons!$B$3:$B$1000)*1,ISNUMBER(SEARCH("TPCAR",[1]OUT_TransportEnergyCons!$C$3:$C$1000))*1,[1]OUT_TransportEnergyCons!F$3:F$1000)</f>
        <v>3.5181854020297654</v>
      </c>
      <c r="I1237" s="1" cm="1">
        <f t="array" ref="I1237">SUMPRODUCT(("T_C-ICE-GSL-S3"=[1]OUT_TransportEnergyCons!$A$3:$A$1000)*1,("var_fout"=[1]OUT_TransportEnergyCons!$B$3:$B$1000)*1,ISNUMBER(SEARCH("TPCAR",[1]OUT_TransportEnergyCons!$C$3:$C$1000))*1,[1]OUT_TransportEnergyCons!G$3:G$1000)</f>
        <v>2.8988958847918784</v>
      </c>
      <c r="J1237" s="1" cm="1">
        <f t="array" ref="J1237">SUMPRODUCT(("T_C-ICE-GSL-S3"=[1]OUT_TransportEnergyCons!$A$3:$A$1000)*1,("var_fout"=[1]OUT_TransportEnergyCons!$B$3:$B$1000)*1,ISNUMBER(SEARCH("TPCAR",[1]OUT_TransportEnergyCons!$C$3:$C$1000))*1,[1]OUT_TransportEnergyCons!H$3:H$1000)</f>
        <v>5.3122857523284259E-2</v>
      </c>
      <c r="K1237" s="1" cm="1">
        <f t="array" ref="K1237">SUMPRODUCT(("T_C-ICE-GSL-S3"=[1]OUT_TransportEnergyCons!$A$3:$A$1000)*1,("var_fout"=[1]OUT_TransportEnergyCons!$B$3:$B$1000)*1,ISNUMBER(SEARCH("TPCAR",[1]OUT_TransportEnergyCons!$C$3:$C$1000))*1,[1]OUT_TransportEnergyCons!I$3:I$1000)</f>
        <v>8.6728329719326972E-4</v>
      </c>
    </row>
    <row r="1238" spans="2:11" x14ac:dyDescent="0.35">
      <c r="B1238" s="5" t="str">
        <f t="shared" si="771"/>
        <v>SPS4</v>
      </c>
      <c r="C1238" s="5" t="str">
        <f t="shared" si="774"/>
        <v>CH</v>
      </c>
      <c r="D1238" t="s">
        <v>1159</v>
      </c>
      <c r="E1238" t="str">
        <f t="shared" si="773"/>
        <v>billion km/yr.</v>
      </c>
      <c r="F1238" s="1" cm="1">
        <f t="array" ref="F1238">SUMPRODUCT(("T_C-ICE-GSL-S4"=[1]OUT_TransportEnergyCons!$A$3:$A$1000)*1,("var_fout"=[1]OUT_TransportEnergyCons!$B$3:$B$1000)*1,ISNUMBER(SEARCH("TPCAR",[1]OUT_TransportEnergyCons!$C$3:$C$1000))*1,[1]OUT_TransportEnergyCons!D$3:D$1000)</f>
        <v>1.7166508918842609</v>
      </c>
      <c r="G1238" s="1" cm="1">
        <f t="array" ref="G1238">SUMPRODUCT(("T_C-ICE-GSL-S4"=[1]OUT_TransportEnergyCons!$A$3:$A$1000)*1,("var_fout"=[1]OUT_TransportEnergyCons!$B$3:$B$1000)*1,ISNUMBER(SEARCH("TPCAR",[1]OUT_TransportEnergyCons!$C$3:$C$1000))*1,[1]OUT_TransportEnergyCons!E$3:E$1000)</f>
        <v>2.2768831732847508</v>
      </c>
      <c r="H1238" s="1" cm="1">
        <f t="array" ref="H1238">SUMPRODUCT(("T_C-ICE-GSL-S4"=[1]OUT_TransportEnergyCons!$A$3:$A$1000)*1,("var_fout"=[1]OUT_TransportEnergyCons!$B$3:$B$1000)*1,ISNUMBER(SEARCH("TPCAR",[1]OUT_TransportEnergyCons!$C$3:$C$1000))*1,[1]OUT_TransportEnergyCons!F$3:F$1000)</f>
        <v>4.9839657657994438</v>
      </c>
      <c r="I1238" s="1" cm="1">
        <f t="array" ref="I1238">SUMPRODUCT(("T_C-ICE-GSL-S4"=[1]OUT_TransportEnergyCons!$A$3:$A$1000)*1,("var_fout"=[1]OUT_TransportEnergyCons!$B$3:$B$1000)*1,ISNUMBER(SEARCH("TPCAR",[1]OUT_TransportEnergyCons!$C$3:$C$1000))*1,[1]OUT_TransportEnergyCons!G$3:G$1000)</f>
        <v>10.723284066075767</v>
      </c>
      <c r="J1238" s="1" cm="1">
        <f t="array" ref="J1238">SUMPRODUCT(("T_C-ICE-GSL-S4"=[1]OUT_TransportEnergyCons!$A$3:$A$1000)*1,("var_fout"=[1]OUT_TransportEnergyCons!$B$3:$B$1000)*1,ISNUMBER(SEARCH("TPCAR",[1]OUT_TransportEnergyCons!$C$3:$C$1000))*1,[1]OUT_TransportEnergyCons!H$3:H$1000)</f>
        <v>14.963061372872694</v>
      </c>
      <c r="K1238" s="1" cm="1">
        <f t="array" ref="K1238">SUMPRODUCT(("T_C-ICE-GSL-S4"=[1]OUT_TransportEnergyCons!$A$3:$A$1000)*1,("var_fout"=[1]OUT_TransportEnergyCons!$B$3:$B$1000)*1,ISNUMBER(SEARCH("TPCAR",[1]OUT_TransportEnergyCons!$C$3:$C$1000))*1,[1]OUT_TransportEnergyCons!I$3:I$1000)</f>
        <v>11.776274442241453</v>
      </c>
    </row>
    <row r="1239" spans="2:11" x14ac:dyDescent="0.35">
      <c r="B1239" s="5" t="str">
        <f t="shared" si="771"/>
        <v>SPS4</v>
      </c>
      <c r="C1239" s="5" t="str">
        <f t="shared" si="774"/>
        <v>CH</v>
      </c>
      <c r="D1239" t="s">
        <v>1160</v>
      </c>
      <c r="E1239" t="str">
        <f t="shared" si="773"/>
        <v>billion km/yr.</v>
      </c>
      <c r="F1239" s="1" cm="1">
        <f t="array" ref="F1239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39" s="1" cm="1">
        <f t="array" ref="G1239">SUMPRODUCT(("T_C-MHY-GSL-S1"=[1]OUT_TransportEnergyCons!$A$3:$A$1000)*1,("var_fout"=[1]OUT_TransportEnergyCons!$B$3:$B$1000)*1,ISNUMBER(SEARCH("TPCAR",[1]OUT_TransportEnergyCons!$C$3:$C$1000))*1,[1]OUT_TransportEnergyCons!E$3:E$1000)</f>
        <v>2.4296022441640217E-4</v>
      </c>
      <c r="H1239" s="1" cm="1">
        <f t="array" ref="H1239">SUMPRODUCT(("T_C-MHY-GSL-S1"=[1]OUT_TransportEnergyCons!$A$3:$A$1000)*1,("var_fout"=[1]OUT_TransportEnergyCons!$B$3:$B$1000)*1,ISNUMBER(SEARCH("TPCAR",[1]OUT_TransportEnergyCons!$C$3:$C$1000))*1,[1]OUT_TransportEnergyCons!F$3:F$1000)</f>
        <v>0.11814852915349014</v>
      </c>
      <c r="I1239" s="1" cm="1">
        <f t="array" ref="I1239">SUMPRODUCT(("T_C-MHY-GSL-S1"=[1]OUT_TransportEnergyCons!$A$3:$A$1000)*1,("var_fout"=[1]OUT_TransportEnergyCons!$B$3:$B$1000)*1,ISNUMBER(SEARCH("TPCAR",[1]OUT_TransportEnergyCons!$C$3:$C$1000))*1,[1]OUT_TransportEnergyCons!G$3:G$1000)</f>
        <v>0.10515927175912758</v>
      </c>
      <c r="J1239" s="1" cm="1">
        <f t="array" ref="J1239">SUMPRODUCT(("T_C-MHY-GSL-S1"=[1]OUT_TransportEnergyCons!$A$3:$A$1000)*1,("var_fout"=[1]OUT_TransportEnergyCons!$B$3:$B$1000)*1,ISNUMBER(SEARCH("TPCAR",[1]OUT_TransportEnergyCons!$C$3:$C$1000))*1,[1]OUT_TransportEnergyCons!H$3:H$1000)</f>
        <v>1.1284380853371712E-2</v>
      </c>
      <c r="K1239" s="1" cm="1">
        <f t="array" ref="K1239">SUMPRODUCT(("T_C-MHY-GSL-S1"=[1]OUT_TransportEnergyCons!$A$3:$A$1000)*1,("var_fout"=[1]OUT_TransportEnergyCons!$B$3:$B$1000)*1,ISNUMBER(SEARCH("TPCAR",[1]OUT_TransportEnergyCons!$C$3:$C$1000))*1,[1]OUT_TransportEnergyCons!I$3:I$1000)</f>
        <v>3.484858869846126E-4</v>
      </c>
    </row>
    <row r="1240" spans="2:11" x14ac:dyDescent="0.35">
      <c r="B1240" s="5" t="str">
        <f t="shared" si="771"/>
        <v>SPS4</v>
      </c>
      <c r="C1240" s="5" t="str">
        <f t="shared" si="774"/>
        <v>CH</v>
      </c>
      <c r="D1240" t="s">
        <v>1161</v>
      </c>
      <c r="E1240" t="str">
        <f t="shared" si="773"/>
        <v>billion km/yr.</v>
      </c>
      <c r="F1240" s="1" cm="1">
        <f t="array" ref="F1240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0" s="1" cm="1">
        <f t="array" ref="G1240">SUMPRODUCT(("T_C-MHY-GSL-S2"=[1]OUT_TransportEnergyCons!$A$3:$A$1000)*1,("var_fout"=[1]OUT_TransportEnergyCons!$B$3:$B$1000)*1,ISNUMBER(SEARCH("TPCAR",[1]OUT_TransportEnergyCons!$C$3:$C$1000))*1,[1]OUT_TransportEnergyCons!E$3:E$1000)</f>
        <v>1.3915789070997238E-4</v>
      </c>
      <c r="H1240" s="1" cm="1">
        <f t="array" ref="H1240">SUMPRODUCT(("T_C-MHY-GSL-S2"=[1]OUT_TransportEnergyCons!$A$3:$A$1000)*1,("var_fout"=[1]OUT_TransportEnergyCons!$B$3:$B$1000)*1,ISNUMBER(SEARCH("TPCAR",[1]OUT_TransportEnergyCons!$C$3:$C$1000))*1,[1]OUT_TransportEnergyCons!F$3:F$1000)</f>
        <v>9.3184362113207667E-4</v>
      </c>
      <c r="I1240" s="1" cm="1">
        <f t="array" ref="I1240">SUMPRODUCT(("T_C-MHY-GSL-S2"=[1]OUT_TransportEnergyCons!$A$3:$A$1000)*1,("var_fout"=[1]OUT_TransportEnergyCons!$B$3:$B$1000)*1,ISNUMBER(SEARCH("TPCAR",[1]OUT_TransportEnergyCons!$C$3:$C$1000))*1,[1]OUT_TransportEnergyCons!G$3:G$1000)</f>
        <v>2.4241237582492362E-3</v>
      </c>
      <c r="J1240" s="1" cm="1">
        <f t="array" ref="J1240">SUMPRODUCT(("T_C-MHY-GSL-S2"=[1]OUT_TransportEnergyCons!$A$3:$A$1000)*1,("var_fout"=[1]OUT_TransportEnergyCons!$B$3:$B$1000)*1,ISNUMBER(SEARCH("TPCAR",[1]OUT_TransportEnergyCons!$C$3:$C$1000))*1,[1]OUT_TransportEnergyCons!H$3:H$1000)</f>
        <v>1.7022552069432821E-3</v>
      </c>
      <c r="K1240" s="1" cm="1">
        <f t="array" ref="K1240">SUMPRODUCT(("T_C-MHY-GSL-S2"=[1]OUT_TransportEnergyCons!$A$3:$A$1000)*1,("var_fout"=[1]OUT_TransportEnergyCons!$B$3:$B$1000)*1,ISNUMBER(SEARCH("TPCAR",[1]OUT_TransportEnergyCons!$C$3:$C$1000))*1,[1]OUT_TransportEnergyCons!I$3:I$1000)</f>
        <v>4.6575453404056348E-4</v>
      </c>
    </row>
    <row r="1241" spans="2:11" x14ac:dyDescent="0.35">
      <c r="B1241" s="5" t="str">
        <f t="shared" si="771"/>
        <v>SPS4</v>
      </c>
      <c r="C1241" s="5" t="str">
        <f t="shared" si="774"/>
        <v>CH</v>
      </c>
      <c r="D1241" t="s">
        <v>1162</v>
      </c>
      <c r="E1241" t="str">
        <f t="shared" si="773"/>
        <v>billion km/yr.</v>
      </c>
      <c r="F1241" s="1" cm="1">
        <f t="array" ref="F1241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SUMPRODUCT(("T_C-MHY-GSL-S3"=[1]OUT_TransportEnergyCons!$A$3:$A$1000)*1,("var_fout"=[1]OUT_TransportEnergyCons!$B$3:$B$1000)*1,ISNUMBER(SEARCH("TPCAR",[1]OUT_TransportEnergyCons!$C$3:$C$1000))*1,[1]OUT_TransportEnergyCons!E$3:E$1000)</f>
        <v>1.9213927244446973E-4</v>
      </c>
      <c r="H1241" s="1" cm="1">
        <f t="array" ref="H1241">SUMPRODUCT(("T_C-MHY-GSL-S3"=[1]OUT_TransportEnergyCons!$A$3:$A$1000)*1,("var_fout"=[1]OUT_TransportEnergyCons!$B$3:$B$1000)*1,ISNUMBER(SEARCH("TPCAR",[1]OUT_TransportEnergyCons!$C$3:$C$1000))*1,[1]OUT_TransportEnergyCons!F$3:F$1000)</f>
        <v>8.3995163253513226E-4</v>
      </c>
      <c r="I1241" s="1" cm="1">
        <f t="array" ref="I1241">SUMPRODUCT(("T_C-MHY-GSL-S3"=[1]OUT_TransportEnergyCons!$A$3:$A$1000)*1,("var_fout"=[1]OUT_TransportEnergyCons!$B$3:$B$1000)*1,ISNUMBER(SEARCH("TPCAR",[1]OUT_TransportEnergyCons!$C$3:$C$1000))*1,[1]OUT_TransportEnergyCons!G$3:G$1000)</f>
        <v>1.6999363645855889E-3</v>
      </c>
      <c r="J1241" s="1" cm="1">
        <f t="array" ref="J1241">SUMPRODUCT(("T_C-MHY-GSL-S3"=[1]OUT_TransportEnergyCons!$A$3:$A$1000)*1,("var_fout"=[1]OUT_TransportEnergyCons!$B$3:$B$1000)*1,ISNUMBER(SEARCH("TPCAR",[1]OUT_TransportEnergyCons!$C$3:$C$1000))*1,[1]OUT_TransportEnergyCons!H$3:H$1000)</f>
        <v>1.431854074811347E-3</v>
      </c>
      <c r="K1241" s="1" cm="1">
        <f t="array" ref="K1241">SUMPRODUCT(("T_C-MHY-GSL-S3"=[1]OUT_TransportEnergyCons!$A$3:$A$1000)*1,("var_fout"=[1]OUT_TransportEnergyCons!$B$3:$B$1000)*1,ISNUMBER(SEARCH("TPCAR",[1]OUT_TransportEnergyCons!$C$3:$C$1000))*1,[1]OUT_TransportEnergyCons!I$3:I$1000)</f>
        <v>5.6404919112813237E-4</v>
      </c>
    </row>
    <row r="1242" spans="2:11" x14ac:dyDescent="0.35">
      <c r="B1242" s="5" t="str">
        <f t="shared" si="771"/>
        <v>SPS4</v>
      </c>
      <c r="C1242" s="5" t="str">
        <f t="shared" si="774"/>
        <v>CH</v>
      </c>
      <c r="D1242" t="s">
        <v>1163</v>
      </c>
      <c r="E1242" t="str">
        <f t="shared" si="773"/>
        <v>billion km/yr.</v>
      </c>
      <c r="F1242" s="1" cm="1">
        <f t="array" ref="F1242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SUMPRODUCT(("T_C-MHY-GSL-S4"=[1]OUT_TransportEnergyCons!$A$3:$A$1000)*1,("var_fout"=[1]OUT_TransportEnergyCons!$B$3:$B$1000)*1,ISNUMBER(SEARCH("TPCAR",[1]OUT_TransportEnergyCons!$C$3:$C$1000))*1,[1]OUT_TransportEnergyCons!E$3:E$1000)</f>
        <v>2.5823418560342958E-4</v>
      </c>
      <c r="H1242" s="1" cm="1">
        <f t="array" ref="H1242">SUMPRODUCT(("T_C-MHY-GSL-S4"=[1]OUT_TransportEnergyCons!$A$3:$A$1000)*1,("var_fout"=[1]OUT_TransportEnergyCons!$B$3:$B$1000)*1,ISNUMBER(SEARCH("TPCAR",[1]OUT_TransportEnergyCons!$C$3:$C$1000))*1,[1]OUT_TransportEnergyCons!F$3:F$1000)</f>
        <v>1.5430448144970021E-3</v>
      </c>
      <c r="I1242" s="1" cm="1">
        <f t="array" ref="I1242">SUMPRODUCT(("T_C-MHY-GSL-S4"=[1]OUT_TransportEnergyCons!$A$3:$A$1000)*1,("var_fout"=[1]OUT_TransportEnergyCons!$B$3:$B$1000)*1,ISNUMBER(SEARCH("TPCAR",[1]OUT_TransportEnergyCons!$C$3:$C$1000))*1,[1]OUT_TransportEnergyCons!G$3:G$1000)</f>
        <v>1.4662825094271006</v>
      </c>
      <c r="J1242" s="1" cm="1">
        <f t="array" ref="J1242">SUMPRODUCT(("T_C-MHY-GSL-S4"=[1]OUT_TransportEnergyCons!$A$3:$A$1000)*1,("var_fout"=[1]OUT_TransportEnergyCons!$B$3:$B$1000)*1,ISNUMBER(SEARCH("TPCAR",[1]OUT_TransportEnergyCons!$C$3:$C$1000))*1,[1]OUT_TransportEnergyCons!H$3:H$1000)</f>
        <v>1.5757697791340421</v>
      </c>
      <c r="K1242" s="1" cm="1">
        <f t="array" ref="K1242">SUMPRODUCT(("T_C-MHY-GSL-S4"=[1]OUT_TransportEnergyCons!$A$3:$A$1000)*1,("var_fout"=[1]OUT_TransportEnergyCons!$B$3:$B$1000)*1,ISNUMBER(SEARCH("TPCAR",[1]OUT_TransportEnergyCons!$C$3:$C$1000))*1,[1]OUT_TransportEnergyCons!I$3:I$1000)</f>
        <v>1.8056062699777113</v>
      </c>
    </row>
    <row r="1243" spans="2:11" x14ac:dyDescent="0.35">
      <c r="B1243" s="5" t="str">
        <f t="shared" si="771"/>
        <v>SPS4</v>
      </c>
      <c r="C1243" s="5" t="str">
        <f t="shared" si="774"/>
        <v>CH</v>
      </c>
      <c r="D1243" t="s">
        <v>1236</v>
      </c>
      <c r="E1243" t="str">
        <f t="shared" si="773"/>
        <v>billion km/yr.</v>
      </c>
      <c r="F1243" s="1" cm="1">
        <f t="array" ref="F1243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3" s="1" cm="1">
        <f t="array" ref="H1243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3" s="1" cm="1">
        <f t="array" ref="I1243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3" s="1" cm="1">
        <f t="array" ref="J1243">SUMPRODUCT(("T_C-HYBDSLEXT"=[1]OUT_TransportEnergyCons!$A$3:$A$1000)*1,("var_fout"=[1]OUT_TransportEnergyCons!$B$3:$B$1000)*1,ISNUMBER(SEARCH("TPCAR",[1]OUT_TransportEnergyCons!$C$3:$C$1000))*1,[1]OUT_TransportEnergyCons!H$3:H$1000)</f>
        <v>0</v>
      </c>
      <c r="K1243" s="1" cm="1">
        <f t="array" ref="K1243">SUMPRODUCT(("T_C-HYBDSLEXT"=[1]OUT_TransportEnergyCons!$A$3:$A$1000)*1,("var_fout"=[1]OUT_TransportEnergyCons!$B$3:$B$1000)*1,ISNUMBER(SEARCH("TPCAR",[1]OUT_TransportEnergyCons!$C$3:$C$1000))*1,[1]OUT_TransportEnergyCons!I$3:I$1000)</f>
        <v>0</v>
      </c>
    </row>
    <row r="1244" spans="2:11" x14ac:dyDescent="0.35">
      <c r="B1244" s="5" t="str">
        <f t="shared" si="771"/>
        <v>SPS4</v>
      </c>
      <c r="C1244" s="5" t="str">
        <f t="shared" si="774"/>
        <v>CH</v>
      </c>
      <c r="D1244" t="s">
        <v>1164</v>
      </c>
      <c r="E1244" t="str">
        <f t="shared" si="773"/>
        <v>billion km/yr.</v>
      </c>
      <c r="F1244" s="1" cm="1">
        <f t="array" ref="F1244">SUMPRODUCT(("T_C-HY-DSL-S1"=[1]OUT_TransportEnergyCons!$A$3:$A$1000)*1,("var_fout"=[1]OUT_TransportEnergyCons!$B$3:$B$1000)*1,ISNUMBER(SEARCH("TPCAR",[1]OUT_TransportEnergyCons!$C$3:$C$1000))*1,[1]OUT_TransportEnergyCons!D$3:D$1000)</f>
        <v>1.3488393295237654E-5</v>
      </c>
      <c r="G1244" s="1" cm="1">
        <f t="array" ref="G1244">SUMPRODUCT(("T_C-HY-DSL-S1"=[1]OUT_TransportEnergyCons!$A$3:$A$1000)*1,("var_fout"=[1]OUT_TransportEnergyCons!$B$3:$B$1000)*1,ISNUMBER(SEARCH("TPCAR",[1]OUT_TransportEnergyCons!$C$3:$C$1000))*1,[1]OUT_TransportEnergyCons!E$3:E$1000)</f>
        <v>0.29947834421960823</v>
      </c>
      <c r="H1244" s="1" cm="1">
        <f t="array" ref="H1244">SUMPRODUCT(("T_C-HY-DSL-S1"=[1]OUT_TransportEnergyCons!$A$3:$A$1000)*1,("var_fout"=[1]OUT_TransportEnergyCons!$B$3:$B$1000)*1,ISNUMBER(SEARCH("TPCAR",[1]OUT_TransportEnergyCons!$C$3:$C$1000))*1,[1]OUT_TransportEnergyCons!F$3:F$1000)</f>
        <v>0.20011415088158779</v>
      </c>
      <c r="I1244" s="1" cm="1">
        <f t="array" ref="I1244">SUMPRODUCT(("T_C-HY-DSL-S1"=[1]OUT_TransportEnergyCons!$A$3:$A$1000)*1,("var_fout"=[1]OUT_TransportEnergyCons!$B$3:$B$1000)*1,ISNUMBER(SEARCH("TPCAR",[1]OUT_TransportEnergyCons!$C$3:$C$1000))*1,[1]OUT_TransportEnergyCons!G$3:G$1000)</f>
        <v>0.16106453859843614</v>
      </c>
      <c r="J1244" s="1" cm="1">
        <f t="array" ref="J1244">SUMPRODUCT(("T_C-HY-DSL-S1"=[1]OUT_TransportEnergyCons!$A$3:$A$1000)*1,("var_fout"=[1]OUT_TransportEnergyCons!$B$3:$B$1000)*1,ISNUMBER(SEARCH("TPCAR",[1]OUT_TransportEnergyCons!$C$3:$C$1000))*1,[1]OUT_TransportEnergyCons!H$3:H$1000)</f>
        <v>1.0465293953333945</v>
      </c>
      <c r="K1244" s="1" cm="1">
        <f t="array" ref="K1244">SUMPRODUCT(("T_C-HY-DSL-S1"=[1]OUT_TransportEnergyCons!$A$3:$A$1000)*1,("var_fout"=[1]OUT_TransportEnergyCons!$B$3:$B$1000)*1,ISNUMBER(SEARCH("TPCAR",[1]OUT_TransportEnergyCons!$C$3:$C$1000))*1,[1]OUT_TransportEnergyCons!I$3:I$1000)</f>
        <v>0.38060686881697864</v>
      </c>
    </row>
    <row r="1245" spans="2:11" x14ac:dyDescent="0.35">
      <c r="B1245" s="5" t="str">
        <f t="shared" si="771"/>
        <v>SPS4</v>
      </c>
      <c r="C1245" s="5" t="str">
        <f t="shared" si="774"/>
        <v>CH</v>
      </c>
      <c r="D1245" t="s">
        <v>1165</v>
      </c>
      <c r="E1245" t="str">
        <f t="shared" si="773"/>
        <v>billion km/yr.</v>
      </c>
      <c r="F1245" s="1" cm="1">
        <f t="array" ref="F1245">SUMPRODUCT(("T_C-HY-DSL-S2"=[1]OUT_TransportEnergyCons!$A$3:$A$1000)*1,("var_fout"=[1]OUT_TransportEnergyCons!$B$3:$B$1000)*1,ISNUMBER(SEARCH("TPCAR",[1]OUT_TransportEnergyCons!$C$3:$C$1000))*1,[1]OUT_TransportEnergyCons!D$3:D$1000)</f>
        <v>3.2537832679149521E-3</v>
      </c>
      <c r="G1245" s="1" cm="1">
        <f t="array" ref="G1245">SUMPRODUCT(("T_C-HY-DSL-S2"=[1]OUT_TransportEnergyCons!$A$3:$A$1000)*1,("var_fout"=[1]OUT_TransportEnergyCons!$B$3:$B$1000)*1,ISNUMBER(SEARCH("TPCAR",[1]OUT_TransportEnergyCons!$C$3:$C$1000))*1,[1]OUT_TransportEnergyCons!E$3:E$1000)</f>
        <v>1.6515637096929296</v>
      </c>
      <c r="H1245" s="1" cm="1">
        <f t="array" ref="H1245">SUMPRODUCT(("T_C-HY-DSL-S2"=[1]OUT_TransportEnergyCons!$A$3:$A$1000)*1,("var_fout"=[1]OUT_TransportEnergyCons!$B$3:$B$1000)*1,ISNUMBER(SEARCH("TPCAR",[1]OUT_TransportEnergyCons!$C$3:$C$1000))*1,[1]OUT_TransportEnergyCons!F$3:F$1000)</f>
        <v>2.6146392837270307</v>
      </c>
      <c r="I1245" s="1" cm="1">
        <f t="array" ref="I1245">SUMPRODUCT(("T_C-HY-DSL-S2"=[1]OUT_TransportEnergyCons!$A$3:$A$1000)*1,("var_fout"=[1]OUT_TransportEnergyCons!$B$3:$B$1000)*1,ISNUMBER(SEARCH("TPCAR",[1]OUT_TransportEnergyCons!$C$3:$C$1000))*1,[1]OUT_TransportEnergyCons!G$3:G$1000)</f>
        <v>2.1808217545130679</v>
      </c>
      <c r="J1245" s="1" cm="1">
        <f t="array" ref="J1245">SUMPRODUCT(("T_C-HY-DSL-S2"=[1]OUT_TransportEnergyCons!$A$3:$A$1000)*1,("var_fout"=[1]OUT_TransportEnergyCons!$B$3:$B$1000)*1,ISNUMBER(SEARCH("TPCAR",[1]OUT_TransportEnergyCons!$C$3:$C$1000))*1,[1]OUT_TransportEnergyCons!H$3:H$1000)</f>
        <v>0.13821475214568854</v>
      </c>
      <c r="K1245" s="1" cm="1">
        <f t="array" ref="K1245">SUMPRODUCT(("T_C-HY-DSL-S2"=[1]OUT_TransportEnergyCons!$A$3:$A$1000)*1,("var_fout"=[1]OUT_TransportEnergyCons!$B$3:$B$1000)*1,ISNUMBER(SEARCH("TPCAR",[1]OUT_TransportEnergyCons!$C$3:$C$1000))*1,[1]OUT_TransportEnergyCons!I$3:I$1000)</f>
        <v>1.3246433817140628</v>
      </c>
    </row>
    <row r="1246" spans="2:11" x14ac:dyDescent="0.35">
      <c r="B1246" s="5" t="str">
        <f t="shared" si="771"/>
        <v>SPS4</v>
      </c>
      <c r="C1246" s="5" t="str">
        <f t="shared" si="774"/>
        <v>CH</v>
      </c>
      <c r="D1246" t="s">
        <v>1166</v>
      </c>
      <c r="E1246" t="str">
        <f t="shared" si="773"/>
        <v>billion km/yr.</v>
      </c>
      <c r="F1246" s="1" cm="1">
        <f t="array" ref="F1246">SUMPRODUCT(("T_C-HY-DSL-S3"=[1]OUT_TransportEnergyCons!$A$3:$A$1000)*1,("var_fout"=[1]OUT_TransportEnergyCons!$B$3:$B$1000)*1,ISNUMBER(SEARCH("TPCAR",[1]OUT_TransportEnergyCons!$C$3:$C$1000))*1,[1]OUT_TransportEnergyCons!D$3:D$1000)</f>
        <v>2.6225978618277229E-2</v>
      </c>
      <c r="G1246" s="1" cm="1">
        <f t="array" ref="G1246">SUMPRODUCT(("T_C-HY-DSL-S3"=[1]OUT_TransportEnergyCons!$A$3:$A$1000)*1,("var_fout"=[1]OUT_TransportEnergyCons!$B$3:$B$1000)*1,ISNUMBER(SEARCH("TPCAR",[1]OUT_TransportEnergyCons!$C$3:$C$1000))*1,[1]OUT_TransportEnergyCons!E$3:E$1000)</f>
        <v>5.454201586838054E-2</v>
      </c>
      <c r="H1246" s="1" cm="1">
        <f t="array" ref="H1246">SUMPRODUCT(("T_C-HY-DSL-S3"=[1]OUT_TransportEnergyCons!$A$3:$A$1000)*1,("var_fout"=[1]OUT_TransportEnergyCons!$B$3:$B$1000)*1,ISNUMBER(SEARCH("TPCAR",[1]OUT_TransportEnergyCons!$C$3:$C$1000))*1,[1]OUT_TransportEnergyCons!F$3:F$1000)</f>
        <v>5.2123315797062482E-2</v>
      </c>
      <c r="I1246" s="1" cm="1">
        <f t="array" ref="I1246">SUMPRODUCT(("T_C-HY-DSL-S3"=[1]OUT_TransportEnergyCons!$A$3:$A$1000)*1,("var_fout"=[1]OUT_TransportEnergyCons!$B$3:$B$1000)*1,ISNUMBER(SEARCH("TPCAR",[1]OUT_TransportEnergyCons!$C$3:$C$1000))*1,[1]OUT_TransportEnergyCons!G$3:G$1000)</f>
        <v>4.1706847646257469E-2</v>
      </c>
      <c r="J1246" s="1" cm="1">
        <f t="array" ref="J1246">SUMPRODUCT(("T_C-HY-DSL-S3"=[1]OUT_TransportEnergyCons!$A$3:$A$1000)*1,("var_fout"=[1]OUT_TransportEnergyCons!$B$3:$B$1000)*1,ISNUMBER(SEARCH("TPCAR",[1]OUT_TransportEnergyCons!$C$3:$C$1000))*1,[1]OUT_TransportEnergyCons!H$3:H$1000)</f>
        <v>7.4969666879003019E-4</v>
      </c>
      <c r="K1246" s="1" cm="1">
        <f t="array" ref="K1246">SUMPRODUCT(("T_C-HY-DSL-S3"=[1]OUT_TransportEnergyCons!$A$3:$A$1000)*1,("var_fout"=[1]OUT_TransportEnergyCons!$B$3:$B$1000)*1,ISNUMBER(SEARCH("TPCAR",[1]OUT_TransportEnergyCons!$C$3:$C$1000))*1,[1]OUT_TransportEnergyCons!I$3:I$1000)</f>
        <v>5.0267207492853724E-4</v>
      </c>
    </row>
    <row r="1247" spans="2:11" x14ac:dyDescent="0.35">
      <c r="B1247" s="5" t="str">
        <f t="shared" si="771"/>
        <v>SPS4</v>
      </c>
      <c r="C1247" s="5" t="str">
        <f t="shared" si="774"/>
        <v>CH</v>
      </c>
      <c r="D1247" t="s">
        <v>1167</v>
      </c>
      <c r="E1247" t="str">
        <f t="shared" si="773"/>
        <v>billion km/yr.</v>
      </c>
      <c r="F1247" s="1" cm="1">
        <f t="array" ref="F1247">SUMPRODUCT(("T_C-HY-DSL-S4"=[1]OUT_TransportEnergyCons!$A$3:$A$1000)*1,("var_fout"=[1]OUT_TransportEnergyCons!$B$3:$B$1000)*1,ISNUMBER(SEARCH("TPCAR",[1]OUT_TransportEnergyCons!$C$3:$C$1000))*1,[1]OUT_TransportEnergyCons!D$3:D$1000)</f>
        <v>4.7380076442047336E-2</v>
      </c>
      <c r="G1247" s="1" cm="1">
        <f t="array" ref="G1247">SUMPRODUCT(("T_C-HY-DSL-S4"=[1]OUT_TransportEnergyCons!$A$3:$A$1000)*1,("var_fout"=[1]OUT_TransportEnergyCons!$B$3:$B$1000)*1,ISNUMBER(SEARCH("TPCAR",[1]OUT_TransportEnergyCons!$C$3:$C$1000))*1,[1]OUT_TransportEnergyCons!E$3:E$1000)</f>
        <v>0.11247776824169553</v>
      </c>
      <c r="H1247" s="1" cm="1">
        <f t="array" ref="H1247">SUMPRODUCT(("T_C-HY-DSL-S4"=[1]OUT_TransportEnergyCons!$A$3:$A$1000)*1,("var_fout"=[1]OUT_TransportEnergyCons!$B$3:$B$1000)*1,ISNUMBER(SEARCH("TPCAR",[1]OUT_TransportEnergyCons!$C$3:$C$1000))*1,[1]OUT_TransportEnergyCons!F$3:F$1000)</f>
        <v>0.10731419470504301</v>
      </c>
      <c r="I1247" s="1" cm="1">
        <f t="array" ref="I1247">SUMPRODUCT(("T_C-HY-DSL-S4"=[1]OUT_TransportEnergyCons!$A$3:$A$1000)*1,("var_fout"=[1]OUT_TransportEnergyCons!$B$3:$B$1000)*1,ISNUMBER(SEARCH("TPCAR",[1]OUT_TransportEnergyCons!$C$3:$C$1000))*1,[1]OUT_TransportEnergyCons!G$3:G$1000)</f>
        <v>9.0241390209314681E-2</v>
      </c>
      <c r="J1247" s="1" cm="1">
        <f t="array" ref="J1247">SUMPRODUCT(("T_C-HY-DSL-S4"=[1]OUT_TransportEnergyCons!$A$3:$A$1000)*1,("var_fout"=[1]OUT_TransportEnergyCons!$B$3:$B$1000)*1,ISNUMBER(SEARCH("TPCAR",[1]OUT_TransportEnergyCons!$C$3:$C$1000))*1,[1]OUT_TransportEnergyCons!H$3:H$1000)</f>
        <v>9.8611204594385585E-4</v>
      </c>
      <c r="K1247" s="1" cm="1">
        <f t="array" ref="K1247">SUMPRODUCT(("T_C-HY-DSL-S4"=[1]OUT_TransportEnergyCons!$A$3:$A$1000)*1,("var_fout"=[1]OUT_TransportEnergyCons!$B$3:$B$1000)*1,ISNUMBER(SEARCH("TPCAR",[1]OUT_TransportEnergyCons!$C$3:$C$1000))*1,[1]OUT_TransportEnergyCons!I$3:I$1000)</f>
        <v>1.7104584676208806E-3</v>
      </c>
    </row>
    <row r="1248" spans="2:11" x14ac:dyDescent="0.35">
      <c r="B1248" s="5" t="str">
        <f t="shared" si="771"/>
        <v>SPS4</v>
      </c>
      <c r="C1248" s="5" t="str">
        <f t="shared" si="774"/>
        <v>CH</v>
      </c>
      <c r="D1248" t="s">
        <v>1168</v>
      </c>
      <c r="E1248" t="str">
        <f t="shared" si="773"/>
        <v>billion km/yr.</v>
      </c>
      <c r="F1248" s="1" cm="1">
        <f t="array" ref="F1248">SUMPRODUCT(("T_C-ICEDSLEXT"=[1]OUT_TransportEnergyCons!$A$3:$A$1000)*1,("var_fout"=[1]OUT_TransportEnergyCons!$B$3:$B$1000)*1,ISNUMBER(SEARCH("TPCAR",[1]OUT_TransportEnergyCons!$C$3:$C$1000))*1,[1]OUT_TransportEnergyCons!D$3:D$1000)</f>
        <v>17.673763108887862</v>
      </c>
      <c r="G1248" s="1" cm="1">
        <f t="array" ref="G1248">SUMPRODUCT(("T_C-ICEDSLEXT"=[1]OUT_TransportEnergyCons!$A$3:$A$1000)*1,("var_fout"=[1]OUT_TransportEnergyCons!$B$3:$B$1000)*1,ISNUMBER(SEARCH("TPCAR",[1]OUT_TransportEnergyCons!$C$3:$C$1000))*1,[1]OUT_TransportEnergyCons!E$3:E$1000)</f>
        <v>17.235950853574685</v>
      </c>
      <c r="H1248" s="1" cm="1">
        <f t="array" ref="H1248">SUMPRODUCT(("T_C-ICEDSLEXT"=[1]OUT_TransportEnergyCons!$A$3:$A$1000)*1,("var_fout"=[1]OUT_TransportEnergyCons!$B$3:$B$1000)*1,ISNUMBER(SEARCH("TPCAR",[1]OUT_TransportEnergyCons!$C$3:$C$1000))*1,[1]OUT_TransportEnergyCons!F$3:F$1000)</f>
        <v>13.118795110571593</v>
      </c>
      <c r="I1248" s="1" cm="1">
        <f t="array" ref="I1248">SUMPRODUCT(("T_C-ICEDSLEXT"=[1]OUT_TransportEnergyCons!$A$3:$A$1000)*1,("var_fout"=[1]OUT_TransportEnergyCons!$B$3:$B$1000)*1,ISNUMBER(SEARCH("TPCAR",[1]OUT_TransportEnergyCons!$C$3:$C$1000))*1,[1]OUT_TransportEnergyCons!G$3:G$1000)</f>
        <v>6.6291921755432455</v>
      </c>
      <c r="J1248" s="1" cm="1">
        <f t="array" ref="J1248">SUMPRODUCT(("T_C-ICEDSLEXT"=[1]OUT_TransportEnergyCons!$A$3:$A$1000)*1,("var_fout"=[1]OUT_TransportEnergyCons!$B$3:$B$1000)*1,ISNUMBER(SEARCH("TPCAR",[1]OUT_TransportEnergyCons!$C$3:$C$1000))*1,[1]OUT_TransportEnergyCons!H$3:H$1000)</f>
        <v>0</v>
      </c>
      <c r="K1248" s="1" cm="1">
        <f t="array" ref="K1248">SUMPRODUCT(("T_C-ICEDSLEXT"=[1]OUT_TransportEnergyCons!$A$3:$A$1000)*1,("var_fout"=[1]OUT_TransportEnergyCons!$B$3:$B$1000)*1,ISNUMBER(SEARCH("TPCAR",[1]OUT_TransportEnergyCons!$C$3:$C$1000))*1,[1]OUT_TransportEnergyCons!I$3:I$1000)</f>
        <v>0</v>
      </c>
    </row>
    <row r="1249" spans="2:11" x14ac:dyDescent="0.35">
      <c r="B1249" s="5" t="str">
        <f t="shared" si="771"/>
        <v>SPS4</v>
      </c>
      <c r="C1249" s="5" t="str">
        <f t="shared" si="774"/>
        <v>CH</v>
      </c>
      <c r="D1249" t="s">
        <v>1169</v>
      </c>
      <c r="E1249" t="str">
        <f t="shared" si="773"/>
        <v>billion km/yr.</v>
      </c>
      <c r="F1249" s="1" cm="1">
        <f t="array" ref="F1249">SUMPRODUCT(("T_C-ICE-DSL-S1"=[1]OUT_TransportEnergyCons!$A$3:$A$1000)*1,("var_fout"=[1]OUT_TransportEnergyCons!$B$3:$B$1000)*1,ISNUMBER(SEARCH("TPCAR",[1]OUT_TransportEnergyCons!$C$3:$C$1000))*1,[1]OUT_TransportEnergyCons!D$3:D$1000)</f>
        <v>3.8585294913505079E-3</v>
      </c>
      <c r="G1249" s="1" cm="1">
        <f t="array" ref="G1249">SUMPRODUCT(("T_C-ICE-DSL-S1"=[1]OUT_TransportEnergyCons!$A$3:$A$1000)*1,("var_fout"=[1]OUT_TransportEnergyCons!$B$3:$B$1000)*1,ISNUMBER(SEARCH("TPCAR",[1]OUT_TransportEnergyCons!$C$3:$C$1000))*1,[1]OUT_TransportEnergyCons!E$3:E$1000)</f>
        <v>4.6282645415466409E-3</v>
      </c>
      <c r="H1249" s="1" cm="1">
        <f t="array" ref="H1249">SUMPRODUCT(("T_C-ICE-DSL-S1"=[1]OUT_TransportEnergyCons!$A$3:$A$1000)*1,("var_fout"=[1]OUT_TransportEnergyCons!$B$3:$B$1000)*1,ISNUMBER(SEARCH("TPCAR",[1]OUT_TransportEnergyCons!$C$3:$C$1000))*1,[1]OUT_TransportEnergyCons!F$3:F$1000)</f>
        <v>3.8189786375031846E-3</v>
      </c>
      <c r="I1249" s="1" cm="1">
        <f t="array" ref="I1249">SUMPRODUCT(("T_C-ICE-DSL-S1"=[1]OUT_TransportEnergyCons!$A$3:$A$1000)*1,("var_fout"=[1]OUT_TransportEnergyCons!$B$3:$B$1000)*1,ISNUMBER(SEARCH("TPCAR",[1]OUT_TransportEnergyCons!$C$3:$C$1000))*1,[1]OUT_TransportEnergyCons!G$3:G$1000)</f>
        <v>2.9438500166163251E-3</v>
      </c>
      <c r="J1249" s="1" cm="1">
        <f t="array" ref="J1249">SUMPRODUCT(("T_C-ICE-DSL-S1"=[1]OUT_TransportEnergyCons!$A$3:$A$1000)*1,("var_fout"=[1]OUT_TransportEnergyCons!$B$3:$B$1000)*1,ISNUMBER(SEARCH("TPCAR",[1]OUT_TransportEnergyCons!$C$3:$C$1000))*1,[1]OUT_TransportEnergyCons!H$3:H$1000)</f>
        <v>4.1587555291667399E-4</v>
      </c>
      <c r="K1249" s="1" cm="1">
        <f t="array" ref="K1249">SUMPRODUCT(("T_C-ICE-DSL-S1"=[1]OUT_TransportEnergyCons!$A$3:$A$1000)*1,("var_fout"=[1]OUT_TransportEnergyCons!$B$3:$B$1000)*1,ISNUMBER(SEARCH("TPCAR",[1]OUT_TransportEnergyCons!$C$3:$C$1000))*1,[1]OUT_TransportEnergyCons!I$3:I$1000)</f>
        <v>1.5708765842112538E-4</v>
      </c>
    </row>
    <row r="1250" spans="2:11" x14ac:dyDescent="0.35">
      <c r="B1250" s="5" t="str">
        <f t="shared" si="771"/>
        <v>SPS4</v>
      </c>
      <c r="C1250" s="5" t="str">
        <f t="shared" si="774"/>
        <v>CH</v>
      </c>
      <c r="D1250" t="s">
        <v>1170</v>
      </c>
      <c r="E1250" t="str">
        <f t="shared" si="773"/>
        <v>billion km/yr.</v>
      </c>
      <c r="F1250" s="1" cm="1">
        <f t="array" ref="F1250">SUMPRODUCT(("T_C-ICE-DSL-S2"=[1]OUT_TransportEnergyCons!$A$3:$A$1000)*1,("var_fout"=[1]OUT_TransportEnergyCons!$B$3:$B$1000)*1,ISNUMBER(SEARCH("TPCAR",[1]OUT_TransportEnergyCons!$C$3:$C$1000))*1,[1]OUT_TransportEnergyCons!D$3:D$1000)</f>
        <v>0.85071162484981699</v>
      </c>
      <c r="G1250" s="1" cm="1">
        <f t="array" ref="G1250">SUMPRODUCT(("T_C-ICE-DSL-S2"=[1]OUT_TransportEnergyCons!$A$3:$A$1000)*1,("var_fout"=[1]OUT_TransportEnergyCons!$B$3:$B$1000)*1,ISNUMBER(SEARCH("TPCAR",[1]OUT_TransportEnergyCons!$C$3:$C$1000))*1,[1]OUT_TransportEnergyCons!E$3:E$1000)</f>
        <v>0.90310409593161134</v>
      </c>
      <c r="H1250" s="1" cm="1">
        <f t="array" ref="H1250">SUMPRODUCT(("T_C-ICE-DSL-S2"=[1]OUT_TransportEnergyCons!$A$3:$A$1000)*1,("var_fout"=[1]OUT_TransportEnergyCons!$B$3:$B$1000)*1,ISNUMBER(SEARCH("TPCAR",[1]OUT_TransportEnergyCons!$C$3:$C$1000))*1,[1]OUT_TransportEnergyCons!F$3:F$1000)</f>
        <v>0.81690947540711356</v>
      </c>
      <c r="I1250" s="1" cm="1">
        <f t="array" ref="I1250">SUMPRODUCT(("T_C-ICE-DSL-S2"=[1]OUT_TransportEnergyCons!$A$3:$A$1000)*1,("var_fout"=[1]OUT_TransportEnergyCons!$B$3:$B$1000)*1,ISNUMBER(SEARCH("TPCAR",[1]OUT_TransportEnergyCons!$C$3:$C$1000))*1,[1]OUT_TransportEnergyCons!G$3:G$1000)</f>
        <v>0.63435728424092308</v>
      </c>
      <c r="J1250" s="1" cm="1">
        <f t="array" ref="J1250">SUMPRODUCT(("T_C-ICE-DSL-S2"=[1]OUT_TransportEnergyCons!$A$3:$A$1000)*1,("var_fout"=[1]OUT_TransportEnergyCons!$B$3:$B$1000)*1,ISNUMBER(SEARCH("TPCAR",[1]OUT_TransportEnergyCons!$C$3:$C$1000))*1,[1]OUT_TransportEnergyCons!H$3:H$1000)</f>
        <v>5.9264970144932516E-4</v>
      </c>
      <c r="K1250" s="1" cm="1">
        <f t="array" ref="K1250">SUMPRODUCT(("T_C-ICE-DSL-S2"=[1]OUT_TransportEnergyCons!$A$3:$A$1000)*1,("var_fout"=[1]OUT_TransportEnergyCons!$B$3:$B$1000)*1,ISNUMBER(SEARCH("TPCAR",[1]OUT_TransportEnergyCons!$C$3:$C$1000))*1,[1]OUT_TransportEnergyCons!I$3:I$1000)</f>
        <v>2.253065831380047E-4</v>
      </c>
    </row>
    <row r="1251" spans="2:11" x14ac:dyDescent="0.35">
      <c r="B1251" s="5" t="str">
        <f t="shared" si="771"/>
        <v>SPS4</v>
      </c>
      <c r="C1251" s="5" t="str">
        <f t="shared" si="774"/>
        <v>CH</v>
      </c>
      <c r="D1251" t="s">
        <v>1171</v>
      </c>
      <c r="E1251" t="str">
        <f t="shared" si="773"/>
        <v>billion km/yr.</v>
      </c>
      <c r="F1251" s="1" cm="1">
        <f t="array" ref="F1251">SUMPRODUCT(("T_C-ICE-DSL-S3"=[1]OUT_TransportEnergyCons!$A$3:$A$1000)*1,("var_fout"=[1]OUT_TransportEnergyCons!$B$3:$B$1000)*1,ISNUMBER(SEARCH("TPCAR",[1]OUT_TransportEnergyCons!$C$3:$C$1000))*1,[1]OUT_TransportEnergyCons!D$3:D$1000)</f>
        <v>2.660535661492891</v>
      </c>
      <c r="G1251" s="1" cm="1">
        <f t="array" ref="G1251">SUMPRODUCT(("T_C-ICE-DSL-S3"=[1]OUT_TransportEnergyCons!$A$3:$A$1000)*1,("var_fout"=[1]OUT_TransportEnergyCons!$B$3:$B$1000)*1,ISNUMBER(SEARCH("TPCAR",[1]OUT_TransportEnergyCons!$C$3:$C$1000))*1,[1]OUT_TransportEnergyCons!E$3:E$1000)</f>
        <v>2.8361927747186075</v>
      </c>
      <c r="H1251" s="1" cm="1">
        <f t="array" ref="H1251">SUMPRODUCT(("T_C-ICE-DSL-S3"=[1]OUT_TransportEnergyCons!$A$3:$A$1000)*1,("var_fout"=[1]OUT_TransportEnergyCons!$B$3:$B$1000)*1,ISNUMBER(SEARCH("TPCAR",[1]OUT_TransportEnergyCons!$C$3:$C$1000))*1,[1]OUT_TransportEnergyCons!F$3:F$1000)</f>
        <v>2.8066215605098122</v>
      </c>
      <c r="I1251" s="1" cm="1">
        <f t="array" ref="I1251">SUMPRODUCT(("T_C-ICE-DSL-S3"=[1]OUT_TransportEnergyCons!$A$3:$A$1000)*1,("var_fout"=[1]OUT_TransportEnergyCons!$B$3:$B$1000)*1,ISNUMBER(SEARCH("TPCAR",[1]OUT_TransportEnergyCons!$C$3:$C$1000))*1,[1]OUT_TransportEnergyCons!G$3:G$1000)</f>
        <v>2.1810882542169656</v>
      </c>
      <c r="J1251" s="1" cm="1">
        <f t="array" ref="J1251">SUMPRODUCT(("T_C-ICE-DSL-S3"=[1]OUT_TransportEnergyCons!$A$3:$A$1000)*1,("var_fout"=[1]OUT_TransportEnergyCons!$B$3:$B$1000)*1,ISNUMBER(SEARCH("TPCAR",[1]OUT_TransportEnergyCons!$C$3:$C$1000))*1,[1]OUT_TransportEnergyCons!H$3:H$1000)</f>
        <v>6.1061216195138954E-4</v>
      </c>
      <c r="K1251" s="1" cm="1">
        <f t="array" ref="K1251">SUMPRODUCT(("T_C-ICE-DSL-S3"=[1]OUT_TransportEnergyCons!$A$3:$A$1000)*1,("var_fout"=[1]OUT_TransportEnergyCons!$B$3:$B$1000)*1,ISNUMBER(SEARCH("TPCAR",[1]OUT_TransportEnergyCons!$C$3:$C$1000))*1,[1]OUT_TransportEnergyCons!I$3:I$1000)</f>
        <v>2.7561322760817332E-4</v>
      </c>
    </row>
    <row r="1252" spans="2:11" x14ac:dyDescent="0.35">
      <c r="B1252" s="5" t="str">
        <f t="shared" si="771"/>
        <v>SPS4</v>
      </c>
      <c r="C1252" s="5" t="str">
        <f t="shared" si="774"/>
        <v>CH</v>
      </c>
      <c r="D1252" t="s">
        <v>1172</v>
      </c>
      <c r="E1252" t="str">
        <f t="shared" si="773"/>
        <v>billion km/yr.</v>
      </c>
      <c r="F1252" s="1" cm="1">
        <f t="array" ref="F1252">SUMPRODUCT(("T_C-ICE-DSL-S4"=[1]OUT_TransportEnergyCons!$A$3:$A$1000)*1,("var_fout"=[1]OUT_TransportEnergyCons!$B$3:$B$1000)*1,ISNUMBER(SEARCH("TPCAR",[1]OUT_TransportEnergyCons!$C$3:$C$1000))*1,[1]OUT_TransportEnergyCons!D$3:D$1000)</f>
        <v>0.90237136868697498</v>
      </c>
      <c r="G1252" s="1" cm="1">
        <f t="array" ref="G1252">SUMPRODUCT(("T_C-ICE-DSL-S4"=[1]OUT_TransportEnergyCons!$A$3:$A$1000)*1,("var_fout"=[1]OUT_TransportEnergyCons!$B$3:$B$1000)*1,ISNUMBER(SEARCH("TPCAR",[1]OUT_TransportEnergyCons!$C$3:$C$1000))*1,[1]OUT_TransportEnergyCons!E$3:E$1000)</f>
        <v>1.0075531227083527</v>
      </c>
      <c r="H1252" s="1" cm="1">
        <f t="array" ref="H1252">SUMPRODUCT(("T_C-ICE-DSL-S4"=[1]OUT_TransportEnergyCons!$A$3:$A$1000)*1,("var_fout"=[1]OUT_TransportEnergyCons!$B$3:$B$1000)*1,ISNUMBER(SEARCH("TPCAR",[1]OUT_TransportEnergyCons!$C$3:$C$1000))*1,[1]OUT_TransportEnergyCons!F$3:F$1000)</f>
        <v>0.99046502545681303</v>
      </c>
      <c r="I1252" s="1" cm="1">
        <f t="array" ref="I1252">SUMPRODUCT(("T_C-ICE-DSL-S4"=[1]OUT_TransportEnergyCons!$A$3:$A$1000)*1,("var_fout"=[1]OUT_TransportEnergyCons!$B$3:$B$1000)*1,ISNUMBER(SEARCH("TPCAR",[1]OUT_TransportEnergyCons!$C$3:$C$1000))*1,[1]OUT_TransportEnergyCons!G$3:G$1000)</f>
        <v>0.77517647769981057</v>
      </c>
      <c r="J1252" s="1" cm="1">
        <f t="array" ref="J1252">SUMPRODUCT(("T_C-ICE-DSL-S4"=[1]OUT_TransportEnergyCons!$A$3:$A$1000)*1,("var_fout"=[1]OUT_TransportEnergyCons!$B$3:$B$1000)*1,ISNUMBER(SEARCH("TPCAR",[1]OUT_TransportEnergyCons!$C$3:$C$1000))*1,[1]OUT_TransportEnergyCons!H$3:H$1000)</f>
        <v>3.3626818693103562E-4</v>
      </c>
      <c r="K1252" s="1" cm="1">
        <f t="array" ref="K1252">SUMPRODUCT(("T_C-ICE-DSL-S4"=[1]OUT_TransportEnergyCons!$A$3:$A$1000)*1,("var_fout"=[1]OUT_TransportEnergyCons!$B$3:$B$1000)*1,ISNUMBER(SEARCH("TPCAR",[1]OUT_TransportEnergyCons!$C$3:$C$1000))*1,[1]OUT_TransportEnergyCons!I$3:I$1000)</f>
        <v>1.7282804682994672E-4</v>
      </c>
    </row>
    <row r="1253" spans="2:11" x14ac:dyDescent="0.35">
      <c r="B1253" s="5" t="str">
        <f t="shared" si="771"/>
        <v>SPS4</v>
      </c>
      <c r="C1253" s="5" t="str">
        <f t="shared" si="774"/>
        <v>CH</v>
      </c>
      <c r="D1253" t="s">
        <v>1173</v>
      </c>
      <c r="E1253" t="str">
        <f t="shared" si="773"/>
        <v>billion km/yr.</v>
      </c>
      <c r="F1253" s="1" cm="1">
        <f t="array" ref="F1253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3" s="1" cm="1">
        <f t="array" ref="G1253">SUMPRODUCT(("T_C-MHY-DSL-S1"=[1]OUT_TransportEnergyCons!$A$3:$A$1000)*1,("var_fout"=[1]OUT_TransportEnergyCons!$B$3:$B$1000)*1,ISNUMBER(SEARCH("TPCAR",[1]OUT_TransportEnergyCons!$C$3:$C$1000))*1,[1]OUT_TransportEnergyCons!E$3:E$1000)</f>
        <v>2.2524523771434615E-4</v>
      </c>
      <c r="H1253" s="1" cm="1">
        <f t="array" ref="H1253">SUMPRODUCT(("T_C-MHY-DSL-S1"=[1]OUT_TransportEnergyCons!$A$3:$A$1000)*1,("var_fout"=[1]OUT_TransportEnergyCons!$B$3:$B$1000)*1,ISNUMBER(SEARCH("TPCAR",[1]OUT_TransportEnergyCons!$C$3:$C$1000))*1,[1]OUT_TransportEnergyCons!F$3:F$1000)</f>
        <v>8.2812953737148823E-2</v>
      </c>
      <c r="I1253" s="1" cm="1">
        <f t="array" ref="I1253">SUMPRODUCT(("T_C-MHY-DSL-S1"=[1]OUT_TransportEnergyCons!$A$3:$A$1000)*1,("var_fout"=[1]OUT_TransportEnergyCons!$B$3:$B$1000)*1,ISNUMBER(SEARCH("TPCAR",[1]OUT_TransportEnergyCons!$C$3:$C$1000))*1,[1]OUT_TransportEnergyCons!G$3:G$1000)</f>
        <v>0.99307854632134973</v>
      </c>
      <c r="J1253" s="1" cm="1">
        <f t="array" ref="J1253">SUMPRODUCT(("T_C-MHY-DSL-S1"=[1]OUT_TransportEnergyCons!$A$3:$A$1000)*1,("var_fout"=[1]OUT_TransportEnergyCons!$B$3:$B$1000)*1,ISNUMBER(SEARCH("TPCAR",[1]OUT_TransportEnergyCons!$C$3:$C$1000))*1,[1]OUT_TransportEnergyCons!H$3:H$1000)</f>
        <v>0.41154752711387171</v>
      </c>
      <c r="K1253" s="1" cm="1">
        <f t="array" ref="K1253">SUMPRODUCT(("T_C-MHY-DSL-S1"=[1]OUT_TransportEnergyCons!$A$3:$A$1000)*1,("var_fout"=[1]OUT_TransportEnergyCons!$B$3:$B$1000)*1,ISNUMBER(SEARCH("TPCAR",[1]OUT_TransportEnergyCons!$C$3:$C$1000))*1,[1]OUT_TransportEnergyCons!I$3:I$1000)</f>
        <v>9.9532940922538882E-3</v>
      </c>
    </row>
    <row r="1254" spans="2:11" x14ac:dyDescent="0.35">
      <c r="B1254" s="5" t="str">
        <f t="shared" si="771"/>
        <v>SPS4</v>
      </c>
      <c r="C1254" s="5" t="str">
        <f t="shared" si="774"/>
        <v>CH</v>
      </c>
      <c r="D1254" t="s">
        <v>1174</v>
      </c>
      <c r="E1254" t="str">
        <f t="shared" si="773"/>
        <v>billion km/yr.</v>
      </c>
      <c r="F1254" s="1" cm="1">
        <f t="array" ref="F1254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4" s="1" cm="1">
        <f t="array" ref="G1254">SUMPRODUCT(("T_C-MHY-DSL-S2"=[1]OUT_TransportEnergyCons!$A$3:$A$1000)*1,("var_fout"=[1]OUT_TransportEnergyCons!$B$3:$B$1000)*1,ISNUMBER(SEARCH("TPCAR",[1]OUT_TransportEnergyCons!$C$3:$C$1000))*1,[1]OUT_TransportEnergyCons!E$3:E$1000)</f>
        <v>1.312006544745354E-4</v>
      </c>
      <c r="H1254" s="1" cm="1">
        <f t="array" ref="H1254">SUMPRODUCT(("T_C-MHY-DSL-S2"=[1]OUT_TransportEnergyCons!$A$3:$A$1000)*1,("var_fout"=[1]OUT_TransportEnergyCons!$B$3:$B$1000)*1,ISNUMBER(SEARCH("TPCAR",[1]OUT_TransportEnergyCons!$C$3:$C$1000))*1,[1]OUT_TransportEnergyCons!F$3:F$1000)</f>
        <v>8.7739906169153519E-4</v>
      </c>
      <c r="I1254" s="1" cm="1">
        <f t="array" ref="I1254">SUMPRODUCT(("T_C-MHY-DSL-S2"=[1]OUT_TransportEnergyCons!$A$3:$A$1000)*1,("var_fout"=[1]OUT_TransportEnergyCons!$B$3:$B$1000)*1,ISNUMBER(SEARCH("TPCAR",[1]OUT_TransportEnergyCons!$C$3:$C$1000))*1,[1]OUT_TransportEnergyCons!G$3:G$1000)</f>
        <v>0.10277250083427752</v>
      </c>
      <c r="J1254" s="1" cm="1">
        <f t="array" ref="J1254">SUMPRODUCT(("T_C-MHY-DSL-S2"=[1]OUT_TransportEnergyCons!$A$3:$A$1000)*1,("var_fout"=[1]OUT_TransportEnergyCons!$B$3:$B$1000)*1,ISNUMBER(SEARCH("TPCAR",[1]OUT_TransportEnergyCons!$C$3:$C$1000))*1,[1]OUT_TransportEnergyCons!H$3:H$1000)</f>
        <v>3.2918397428698912E-2</v>
      </c>
      <c r="K1254" s="1" cm="1">
        <f t="array" ref="K1254">SUMPRODUCT(("T_C-MHY-DSL-S2"=[1]OUT_TransportEnergyCons!$A$3:$A$1000)*1,("var_fout"=[1]OUT_TransportEnergyCons!$B$3:$B$1000)*1,ISNUMBER(SEARCH("TPCAR",[1]OUT_TransportEnergyCons!$C$3:$C$1000))*1,[1]OUT_TransportEnergyCons!I$3:I$1000)</f>
        <v>1.1454132557327044E-3</v>
      </c>
    </row>
    <row r="1255" spans="2:11" x14ac:dyDescent="0.35">
      <c r="B1255" s="5" t="str">
        <f t="shared" si="771"/>
        <v>SPS4</v>
      </c>
      <c r="C1255" s="5" t="str">
        <f t="shared" si="774"/>
        <v>CH</v>
      </c>
      <c r="D1255" t="s">
        <v>1175</v>
      </c>
      <c r="E1255" t="str">
        <f t="shared" si="773"/>
        <v>billion km/yr.</v>
      </c>
      <c r="F1255" s="1" cm="1">
        <f t="array" ref="F1255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SUMPRODUCT(("T_C-MHY-DSL-S3"=[1]OUT_TransportEnergyCons!$A$3:$A$1000)*1,("var_fout"=[1]OUT_TransportEnergyCons!$B$3:$B$1000)*1,ISNUMBER(SEARCH("TPCAR",[1]OUT_TransportEnergyCons!$C$3:$C$1000))*1,[1]OUT_TransportEnergyCons!E$3:E$1000)</f>
        <v>1.7084588052623928E-4</v>
      </c>
      <c r="H1255" s="1" cm="1">
        <f t="array" ref="H1255">SUMPRODUCT(("T_C-MHY-DSL-S3"=[1]OUT_TransportEnergyCons!$A$3:$A$1000)*1,("var_fout"=[1]OUT_TransportEnergyCons!$B$3:$B$1000)*1,ISNUMBER(SEARCH("TPCAR",[1]OUT_TransportEnergyCons!$C$3:$C$1000))*1,[1]OUT_TransportEnergyCons!F$3:F$1000)</f>
        <v>7.7209320867161781E-4</v>
      </c>
      <c r="I1255" s="1" cm="1">
        <f t="array" ref="I1255">SUMPRODUCT(("T_C-MHY-DSL-S3"=[1]OUT_TransportEnergyCons!$A$3:$A$1000)*1,("var_fout"=[1]OUT_TransportEnergyCons!$B$3:$B$1000)*1,ISNUMBER(SEARCH("TPCAR",[1]OUT_TransportEnergyCons!$C$3:$C$1000))*1,[1]OUT_TransportEnergyCons!G$3:G$1000)</f>
        <v>3.2312448239302559E-3</v>
      </c>
      <c r="J1255" s="1" cm="1">
        <f t="array" ref="J1255">SUMPRODUCT(("T_C-MHY-DSL-S3"=[1]OUT_TransportEnergyCons!$A$3:$A$1000)*1,("var_fout"=[1]OUT_TransportEnergyCons!$B$3:$B$1000)*1,ISNUMBER(SEARCH("TPCAR",[1]OUT_TransportEnergyCons!$C$3:$C$1000))*1,[1]OUT_TransportEnergyCons!H$3:H$1000)</f>
        <v>0.66456475223440103</v>
      </c>
      <c r="K1255" s="1" cm="1">
        <f t="array" ref="K1255">SUMPRODUCT(("T_C-MHY-DSL-S3"=[1]OUT_TransportEnergyCons!$A$3:$A$1000)*1,("var_fout"=[1]OUT_TransportEnergyCons!$B$3:$B$1000)*1,ISNUMBER(SEARCH("TPCAR",[1]OUT_TransportEnergyCons!$C$3:$C$1000))*1,[1]OUT_TransportEnergyCons!I$3:I$1000)</f>
        <v>1.2495193647779286</v>
      </c>
    </row>
    <row r="1256" spans="2:11" x14ac:dyDescent="0.35">
      <c r="B1256" s="5" t="str">
        <f t="shared" si="771"/>
        <v>SPS4</v>
      </c>
      <c r="C1256" s="5" t="str">
        <f t="shared" si="774"/>
        <v>CH</v>
      </c>
      <c r="D1256" t="s">
        <v>1176</v>
      </c>
      <c r="E1256" t="str">
        <f t="shared" si="773"/>
        <v>billion km/yr.</v>
      </c>
      <c r="F1256" s="1" cm="1">
        <f t="array" ref="F1256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SUMPRODUCT(("T_C-MHY-DSL-S4"=[1]OUT_TransportEnergyCons!$A$3:$A$1000)*1,("var_fout"=[1]OUT_TransportEnergyCons!$B$3:$B$1000)*1,ISNUMBER(SEARCH("TPCAR",[1]OUT_TransportEnergyCons!$C$3:$C$1000))*1,[1]OUT_TransportEnergyCons!E$3:E$1000)</f>
        <v>1.0664703296315862E-4</v>
      </c>
      <c r="H1256" s="1" cm="1">
        <f t="array" ref="H1256">SUMPRODUCT(("T_C-MHY-DSL-S4"=[1]OUT_TransportEnergyCons!$A$3:$A$1000)*1,("var_fout"=[1]OUT_TransportEnergyCons!$B$3:$B$1000)*1,ISNUMBER(SEARCH("TPCAR",[1]OUT_TransportEnergyCons!$C$3:$C$1000))*1,[1]OUT_TransportEnergyCons!F$3:F$1000)</f>
        <v>3.1490712763972476E-4</v>
      </c>
      <c r="I1256" s="1" cm="1">
        <f t="array" ref="I1256">SUMPRODUCT(("T_C-MHY-DSL-S4"=[1]OUT_TransportEnergyCons!$A$3:$A$1000)*1,("var_fout"=[1]OUT_TransportEnergyCons!$B$3:$B$1000)*1,ISNUMBER(SEARCH("TPCAR",[1]OUT_TransportEnergyCons!$C$3:$C$1000))*1,[1]OUT_TransportEnergyCons!G$3:G$1000)</f>
        <v>5.5919846374788439E-4</v>
      </c>
      <c r="J1256" s="1" cm="1">
        <f t="array" ref="J1256">SUMPRODUCT(("T_C-MHY-DSL-S4"=[1]OUT_TransportEnergyCons!$A$3:$A$1000)*1,("var_fout"=[1]OUT_TransportEnergyCons!$B$3:$B$1000)*1,ISNUMBER(SEARCH("TPCAR",[1]OUT_TransportEnergyCons!$C$3:$C$1000))*1,[1]OUT_TransportEnergyCons!H$3:H$1000)</f>
        <v>8.149672607422005E-4</v>
      </c>
      <c r="K1256" s="1" cm="1">
        <f t="array" ref="K1256">SUMPRODUCT(("T_C-MHY-DSL-S4"=[1]OUT_TransportEnergyCons!$A$3:$A$1000)*1,("var_fout"=[1]OUT_TransportEnergyCons!$B$3:$B$1000)*1,ISNUMBER(SEARCH("TPCAR",[1]OUT_TransportEnergyCons!$C$3:$C$1000))*1,[1]OUT_TransportEnergyCons!I$3:I$1000)</f>
        <v>5.3657206473830437E-4</v>
      </c>
    </row>
    <row r="1257" spans="2:11" x14ac:dyDescent="0.35">
      <c r="B1257" s="5" t="str">
        <f t="shared" si="771"/>
        <v>SPS4</v>
      </c>
      <c r="C1257" s="5" t="str">
        <f t="shared" si="774"/>
        <v>CH</v>
      </c>
      <c r="D1257" t="s">
        <v>1177</v>
      </c>
      <c r="E1257" t="str">
        <f t="shared" si="773"/>
        <v>billion km/yr.</v>
      </c>
      <c r="F1257" s="1" cm="1">
        <f t="array" ref="F1257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7" s="1" cm="1">
        <f t="array" ref="H1257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7" s="1" cm="1">
        <f t="array" ref="I1257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7" s="1" cm="1">
        <f t="array" ref="J1257">SUMPRODUCT(("T_C-ICENGAEXT"=[1]OUT_TransportEnergyCons!$A$3:$A$1000)*1,("var_fout"=[1]OUT_TransportEnergyCons!$B$3:$B$1000)*1,ISNUMBER(SEARCH("TPCAR",[1]OUT_TransportEnergyCons!$C$3:$C$1000))*1,[1]OUT_TransportEnergyCons!H$3:H$1000)</f>
        <v>0</v>
      </c>
      <c r="K1257" s="1" cm="1">
        <f t="array" ref="K1257">SUMPRODUCT(("T_C-ICENGAEXT"=[1]OUT_TransportEnergyCons!$A$3:$A$1000)*1,("var_fout"=[1]OUT_TransportEnergyCons!$B$3:$B$1000)*1,ISNUMBER(SEARCH("TPCAR",[1]OUT_TransportEnergyCons!$C$3:$C$1000))*1,[1]OUT_TransportEnergyCons!I$3:I$1000)</f>
        <v>0</v>
      </c>
    </row>
    <row r="1258" spans="2:11" x14ac:dyDescent="0.35">
      <c r="B1258" s="5" t="str">
        <f t="shared" si="771"/>
        <v>SPS4</v>
      </c>
      <c r="C1258" s="5" t="str">
        <f t="shared" si="774"/>
        <v>CH</v>
      </c>
      <c r="D1258" t="s">
        <v>1178</v>
      </c>
      <c r="E1258" t="str">
        <f t="shared" si="773"/>
        <v>billion km/yr.</v>
      </c>
      <c r="F1258" s="1" cm="1">
        <f t="array" ref="F1258">SUMPRODUCT(("T_C-ICE-NGA-S1"=[1]OUT_TransportEnergyCons!$A$3:$A$1000)*1,("var_fout"=[1]OUT_TransportEnergyCons!$B$3:$B$1000)*1,ISNUMBER(SEARCH("TPCAR",[1]OUT_TransportEnergyCons!$C$3:$C$1000))*1,[1]OUT_TransportEnergyCons!D$3:D$1000)</f>
        <v>2.2159513147199002E-3</v>
      </c>
      <c r="G1258" s="1" cm="1">
        <f t="array" ref="G1258">SUMPRODUCT(("T_C-ICE-NGA-S1"=[1]OUT_TransportEnergyCons!$A$3:$A$1000)*1,("var_fout"=[1]OUT_TransportEnergyCons!$B$3:$B$1000)*1,ISNUMBER(SEARCH("TPCAR",[1]OUT_TransportEnergyCons!$C$3:$C$1000))*1,[1]OUT_TransportEnergyCons!E$3:E$1000)</f>
        <v>1.7913881004988849E-3</v>
      </c>
      <c r="H1258" s="1" cm="1">
        <f t="array" ref="H1258">SUMPRODUCT(("T_C-ICE-NGA-S1"=[1]OUT_TransportEnergyCons!$A$3:$A$1000)*1,("var_fout"=[1]OUT_TransportEnergyCons!$B$3:$B$1000)*1,ISNUMBER(SEARCH("TPCAR",[1]OUT_TransportEnergyCons!$C$3:$C$1000))*1,[1]OUT_TransportEnergyCons!F$3:F$1000)</f>
        <v>1.7962265817508599E-3</v>
      </c>
      <c r="I1258" s="1" cm="1">
        <f t="array" ref="I1258">SUMPRODUCT(("T_C-ICE-NGA-S1"=[1]OUT_TransportEnergyCons!$A$3:$A$1000)*1,("var_fout"=[1]OUT_TransportEnergyCons!$B$3:$B$1000)*1,ISNUMBER(SEARCH("TPCAR",[1]OUT_TransportEnergyCons!$C$3:$C$1000))*1,[1]OUT_TransportEnergyCons!G$3:G$1000)</f>
        <v>9.929847713531403E-5</v>
      </c>
      <c r="J1258" s="1" cm="1">
        <f t="array" ref="J1258">SUMPRODUCT(("T_C-ICE-NGA-S1"=[1]OUT_TransportEnergyCons!$A$3:$A$1000)*1,("var_fout"=[1]OUT_TransportEnergyCons!$B$3:$B$1000)*1,ISNUMBER(SEARCH("TPCAR",[1]OUT_TransportEnergyCons!$C$3:$C$1000))*1,[1]OUT_TransportEnergyCons!H$3:H$1000)</f>
        <v>4.6240952366360874E-5</v>
      </c>
      <c r="K1258" s="1" cm="1">
        <f t="array" ref="K1258">SUMPRODUCT(("T_C-ICE-NGA-S1"=[1]OUT_TransportEnergyCons!$A$3:$A$1000)*1,("var_fout"=[1]OUT_TransportEnergyCons!$B$3:$B$1000)*1,ISNUMBER(SEARCH("TPCAR",[1]OUT_TransportEnergyCons!$C$3:$C$1000))*1,[1]OUT_TransportEnergyCons!I$3:I$1000)</f>
        <v>2.8812126032983872E-5</v>
      </c>
    </row>
    <row r="1259" spans="2:11" x14ac:dyDescent="0.35">
      <c r="B1259" s="5" t="str">
        <f t="shared" si="771"/>
        <v>SPS4</v>
      </c>
      <c r="C1259" s="5" t="str">
        <f t="shared" si="774"/>
        <v>CH</v>
      </c>
      <c r="D1259" t="s">
        <v>1179</v>
      </c>
      <c r="E1259" t="str">
        <f t="shared" si="773"/>
        <v>billion km/yr.</v>
      </c>
      <c r="F1259" s="1" cm="1">
        <f t="array" ref="F1259">SUMPRODUCT(("T_C-ICE-NGA-S2"=[1]OUT_TransportEnergyCons!$A$3:$A$1000)*1,("var_fout"=[1]OUT_TransportEnergyCons!$B$3:$B$1000)*1,ISNUMBER(SEARCH("TPCAR",[1]OUT_TransportEnergyCons!$C$3:$C$1000))*1,[1]OUT_TransportEnergyCons!D$3:D$1000)</f>
        <v>3.5287209193166809E-2</v>
      </c>
      <c r="G1259" s="1" cm="1">
        <f t="array" ref="G1259">SUMPRODUCT(("T_C-ICE-NGA-S2"=[1]OUT_TransportEnergyCons!$A$3:$A$1000)*1,("var_fout"=[1]OUT_TransportEnergyCons!$B$3:$B$1000)*1,ISNUMBER(SEARCH("TPCAR",[1]OUT_TransportEnergyCons!$C$3:$C$1000))*1,[1]OUT_TransportEnergyCons!E$3:E$1000)</f>
        <v>2.6468945101585182E-2</v>
      </c>
      <c r="H1259" s="1" cm="1">
        <f t="array" ref="H1259">SUMPRODUCT(("T_C-ICE-NGA-S2"=[1]OUT_TransportEnergyCons!$A$3:$A$1000)*1,("var_fout"=[1]OUT_TransportEnergyCons!$B$3:$B$1000)*1,ISNUMBER(SEARCH("TPCAR",[1]OUT_TransportEnergyCons!$C$3:$C$1000))*1,[1]OUT_TransportEnergyCons!F$3:F$1000)</f>
        <v>3.5771511035785249E-2</v>
      </c>
      <c r="I1259" s="1" cm="1">
        <f t="array" ref="I1259">SUMPRODUCT(("T_C-ICE-NGA-S2"=[1]OUT_TransportEnergyCons!$A$3:$A$1000)*1,("var_fout"=[1]OUT_TransportEnergyCons!$B$3:$B$1000)*1,ISNUMBER(SEARCH("TPCAR",[1]OUT_TransportEnergyCons!$C$3:$C$1000))*1,[1]OUT_TransportEnergyCons!G$3:G$1000)</f>
        <v>9.8054678791957952E-5</v>
      </c>
      <c r="J1259" s="1" cm="1">
        <f t="array" ref="J1259">SUMPRODUCT(("T_C-ICE-NGA-S2"=[1]OUT_TransportEnergyCons!$A$3:$A$1000)*1,("var_fout"=[1]OUT_TransportEnergyCons!$B$3:$B$1000)*1,ISNUMBER(SEARCH("TPCAR",[1]OUT_TransportEnergyCons!$C$3:$C$1000))*1,[1]OUT_TransportEnergyCons!H$3:H$1000)</f>
        <v>8.8384436754125012E-5</v>
      </c>
      <c r="K1259" s="1" cm="1">
        <f t="array" ref="K1259">SUMPRODUCT(("T_C-ICE-NGA-S2"=[1]OUT_TransportEnergyCons!$A$3:$A$1000)*1,("var_fout"=[1]OUT_TransportEnergyCons!$B$3:$B$1000)*1,ISNUMBER(SEARCH("TPCAR",[1]OUT_TransportEnergyCons!$C$3:$C$1000))*1,[1]OUT_TransportEnergyCons!I$3:I$1000)</f>
        <v>5.4816541960628588E-5</v>
      </c>
    </row>
    <row r="1260" spans="2:11" x14ac:dyDescent="0.35">
      <c r="B1260" s="5" t="str">
        <f t="shared" si="771"/>
        <v>SPS4</v>
      </c>
      <c r="C1260" s="5" t="str">
        <f t="shared" si="774"/>
        <v>CH</v>
      </c>
      <c r="D1260" t="s">
        <v>1180</v>
      </c>
      <c r="E1260" t="str">
        <f t="shared" si="773"/>
        <v>billion km/yr.</v>
      </c>
      <c r="F1260" s="1" cm="1">
        <f t="array" ref="F1260">SUMPRODUCT(("T_C-ICE-NGA-S3"=[1]OUT_TransportEnergyCons!$A$3:$A$1000)*1,("var_fout"=[1]OUT_TransportEnergyCons!$B$3:$B$1000)*1,ISNUMBER(SEARCH("TPCAR",[1]OUT_TransportEnergyCons!$C$3:$C$1000))*1,[1]OUT_TransportEnergyCons!D$3:D$1000)</f>
        <v>2.0303139392098221E-3</v>
      </c>
      <c r="G1260" s="1" cm="1">
        <f t="array" ref="G1260">SUMPRODUCT(("T_C-ICE-NGA-S3"=[1]OUT_TransportEnergyCons!$A$3:$A$1000)*1,("var_fout"=[1]OUT_TransportEnergyCons!$B$3:$B$1000)*1,ISNUMBER(SEARCH("TPCAR",[1]OUT_TransportEnergyCons!$C$3:$C$1000))*1,[1]OUT_TransportEnergyCons!E$3:E$1000)</f>
        <v>1.8202034921466E-3</v>
      </c>
      <c r="H1260" s="1" cm="1">
        <f t="array" ref="H1260">SUMPRODUCT(("T_C-ICE-NGA-S3"=[1]OUT_TransportEnergyCons!$A$3:$A$1000)*1,("var_fout"=[1]OUT_TransportEnergyCons!$B$3:$B$1000)*1,ISNUMBER(SEARCH("TPCAR",[1]OUT_TransportEnergyCons!$C$3:$C$1000))*1,[1]OUT_TransportEnergyCons!F$3:F$1000)</f>
        <v>2.2854679476764761E-3</v>
      </c>
      <c r="I1260" s="1" cm="1">
        <f t="array" ref="I1260">SUMPRODUCT(("T_C-ICE-NGA-S3"=[1]OUT_TransportEnergyCons!$A$3:$A$1000)*1,("var_fout"=[1]OUT_TransportEnergyCons!$B$3:$B$1000)*1,ISNUMBER(SEARCH("TPCAR",[1]OUT_TransportEnergyCons!$C$3:$C$1000))*1,[1]OUT_TransportEnergyCons!G$3:G$1000)</f>
        <v>2.7266039771993878E-4</v>
      </c>
      <c r="J1260" s="1" cm="1">
        <f t="array" ref="J1260">SUMPRODUCT(("T_C-ICE-NGA-S3"=[1]OUT_TransportEnergyCons!$A$3:$A$1000)*1,("var_fout"=[1]OUT_TransportEnergyCons!$B$3:$B$1000)*1,ISNUMBER(SEARCH("TPCAR",[1]OUT_TransportEnergyCons!$C$3:$C$1000))*1,[1]OUT_TransportEnergyCons!H$3:H$1000)</f>
        <v>1.4071540634133016E-4</v>
      </c>
      <c r="K1260" s="1" cm="1">
        <f t="array" ref="K1260">SUMPRODUCT(("T_C-ICE-NGA-S3"=[1]OUT_TransportEnergyCons!$A$3:$A$1000)*1,("var_fout"=[1]OUT_TransportEnergyCons!$B$3:$B$1000)*1,ISNUMBER(SEARCH("TPCAR",[1]OUT_TransportEnergyCons!$C$3:$C$1000))*1,[1]OUT_TransportEnergyCons!I$3:I$1000)</f>
        <v>1.1064119067204539E-4</v>
      </c>
    </row>
    <row r="1261" spans="2:11" x14ac:dyDescent="0.35">
      <c r="B1261" s="5" t="str">
        <f t="shared" si="771"/>
        <v>SPS4</v>
      </c>
      <c r="C1261" s="5" t="str">
        <f t="shared" si="774"/>
        <v>CH</v>
      </c>
      <c r="D1261" t="s">
        <v>1181</v>
      </c>
      <c r="E1261" t="str">
        <f t="shared" si="773"/>
        <v>billion km/yr.</v>
      </c>
      <c r="F1261" s="1" cm="1">
        <f t="array" ref="F1261">SUMPRODUCT(("T_C-ICE-NGA-S4"=[1]OUT_TransportEnergyCons!$A$3:$A$1000)*1,("var_fout"=[1]OUT_TransportEnergyCons!$B$3:$B$1000)*1,ISNUMBER(SEARCH("TPCAR",[1]OUT_TransportEnergyCons!$C$3:$C$1000))*1,[1]OUT_TransportEnergyCons!D$3:D$1000)</f>
        <v>3.2942858957754624E-2</v>
      </c>
      <c r="G1261" s="1" cm="1">
        <f t="array" ref="G1261">SUMPRODUCT(("T_C-ICE-NGA-S4"=[1]OUT_TransportEnergyCons!$A$3:$A$1000)*1,("var_fout"=[1]OUT_TransportEnergyCons!$B$3:$B$1000)*1,ISNUMBER(SEARCH("TPCAR",[1]OUT_TransportEnergyCons!$C$3:$C$1000))*1,[1]OUT_TransportEnergyCons!E$3:E$1000)</f>
        <v>3.2172929696982794E-2</v>
      </c>
      <c r="H1261" s="1" cm="1">
        <f t="array" ref="H1261">SUMPRODUCT(("T_C-ICE-NGA-S4"=[1]OUT_TransportEnergyCons!$A$3:$A$1000)*1,("var_fout"=[1]OUT_TransportEnergyCons!$B$3:$B$1000)*1,ISNUMBER(SEARCH("TPCAR",[1]OUT_TransportEnergyCons!$C$3:$C$1000))*1,[1]OUT_TransportEnergyCons!F$3:F$1000)</f>
        <v>2.9933397201902967E-2</v>
      </c>
      <c r="I1261" s="1" cm="1">
        <f t="array" ref="I1261">SUMPRODUCT(("T_C-ICE-NGA-S4"=[1]OUT_TransportEnergyCons!$A$3:$A$1000)*1,("var_fout"=[1]OUT_TransportEnergyCons!$B$3:$B$1000)*1,ISNUMBER(SEARCH("TPCAR",[1]OUT_TransportEnergyCons!$C$3:$C$1000))*1,[1]OUT_TransportEnergyCons!G$3:G$1000)</f>
        <v>6.7206425876849241E-5</v>
      </c>
      <c r="J1261" s="1" cm="1">
        <f t="array" ref="J1261">SUMPRODUCT(("T_C-ICE-NGA-S4"=[1]OUT_TransportEnergyCons!$A$3:$A$1000)*1,("var_fout"=[1]OUT_TransportEnergyCons!$B$3:$B$1000)*1,ISNUMBER(SEARCH("TPCAR",[1]OUT_TransportEnergyCons!$C$3:$C$1000))*1,[1]OUT_TransportEnergyCons!H$3:H$1000)</f>
        <v>1.356875050176402E-4</v>
      </c>
      <c r="K1261" s="1" cm="1">
        <f t="array" ref="K1261">SUMPRODUCT(("T_C-ICE-NGA-S4"=[1]OUT_TransportEnergyCons!$A$3:$A$1000)*1,("var_fout"=[1]OUT_TransportEnergyCons!$B$3:$B$1000)*1,ISNUMBER(SEARCH("TPCAR",[1]OUT_TransportEnergyCons!$C$3:$C$1000))*1,[1]OUT_TransportEnergyCons!I$3:I$1000)</f>
        <v>1.4759632715747971E-4</v>
      </c>
    </row>
    <row r="1262" spans="2:11" x14ac:dyDescent="0.35">
      <c r="B1262" s="5" t="str">
        <f t="shared" si="771"/>
        <v>SPS4</v>
      </c>
      <c r="C1262" s="5" t="str">
        <f t="shared" si="774"/>
        <v>CH</v>
      </c>
      <c r="D1262" s="2" t="s">
        <v>1131</v>
      </c>
      <c r="E1262" s="2" t="s">
        <v>1230</v>
      </c>
      <c r="F1262" s="21" t="s">
        <v>292</v>
      </c>
      <c r="G1262" s="21" t="s">
        <v>292</v>
      </c>
      <c r="H1262" s="21" t="s">
        <v>292</v>
      </c>
      <c r="I1262" s="21" t="s">
        <v>292</v>
      </c>
      <c r="J1262" s="21" t="s">
        <v>292</v>
      </c>
      <c r="K1262" s="21" t="s">
        <v>292</v>
      </c>
    </row>
    <row r="1263" spans="2:11" x14ac:dyDescent="0.35">
      <c r="B1263" s="5" t="str">
        <f t="shared" si="771"/>
        <v>SPS4</v>
      </c>
      <c r="C1263" s="5" t="str">
        <f>C1262</f>
        <v>CH</v>
      </c>
      <c r="D1263" t="s">
        <v>1182</v>
      </c>
      <c r="E1263" t="str">
        <f>E1262</f>
        <v>km/MJ</v>
      </c>
      <c r="F1263" s="1">
        <f t="shared" ref="F1263:K1267" si="775">IFERROR(F1212/F1136,"-")</f>
        <v>0.88951199431361383</v>
      </c>
      <c r="G1263" s="1">
        <f t="shared" si="775"/>
        <v>0.95694536964701793</v>
      </c>
      <c r="H1263" s="1">
        <f t="shared" si="775"/>
        <v>1.0580954326471259</v>
      </c>
      <c r="I1263" s="1">
        <f t="shared" si="775"/>
        <v>1.2266788709806384</v>
      </c>
      <c r="J1263" s="1" t="str">
        <f t="shared" si="775"/>
        <v>-</v>
      </c>
      <c r="K1263" s="1" t="str">
        <f t="shared" si="775"/>
        <v>-</v>
      </c>
    </row>
    <row r="1264" spans="2:11" x14ac:dyDescent="0.35">
      <c r="B1264" s="5" t="str">
        <f t="shared" si="771"/>
        <v>SPS4</v>
      </c>
      <c r="C1264" s="5" t="str">
        <f t="shared" ref="C1264:C1312" si="776">C1263</f>
        <v>CH</v>
      </c>
      <c r="D1264" t="s">
        <v>1183</v>
      </c>
      <c r="E1264" t="str">
        <f t="shared" ref="E1264:E1312" si="777">E1263</f>
        <v>km/MJ</v>
      </c>
      <c r="F1264" s="1">
        <f t="shared" si="775"/>
        <v>1.8116719735064521</v>
      </c>
      <c r="G1264" s="1">
        <f t="shared" si="775"/>
        <v>1.8116719735064479</v>
      </c>
      <c r="H1264" s="1">
        <f t="shared" si="775"/>
        <v>1.8116719735064468</v>
      </c>
      <c r="I1264" s="1">
        <f t="shared" si="775"/>
        <v>1.811671973506447</v>
      </c>
      <c r="J1264" s="1">
        <f t="shared" si="775"/>
        <v>1.9902984571751414</v>
      </c>
      <c r="K1264" s="1">
        <f t="shared" si="775"/>
        <v>2.1961411897546319</v>
      </c>
    </row>
    <row r="1265" spans="2:11" x14ac:dyDescent="0.35">
      <c r="B1265" s="5" t="str">
        <f t="shared" si="771"/>
        <v>SPS4</v>
      </c>
      <c r="C1265" s="5" t="str">
        <f t="shared" si="776"/>
        <v>CH</v>
      </c>
      <c r="D1265" t="s">
        <v>1184</v>
      </c>
      <c r="E1265" t="str">
        <f t="shared" si="777"/>
        <v>km/MJ</v>
      </c>
      <c r="F1265" s="1">
        <f t="shared" si="775"/>
        <v>1.4637982671179723</v>
      </c>
      <c r="G1265" s="1">
        <f t="shared" si="775"/>
        <v>1.4637982671179701</v>
      </c>
      <c r="H1265" s="1">
        <f t="shared" si="775"/>
        <v>1.4637982671179706</v>
      </c>
      <c r="I1265" s="1">
        <f t="shared" si="775"/>
        <v>1.4637982671179708</v>
      </c>
      <c r="J1265" s="1">
        <f t="shared" si="775"/>
        <v>1.5627500820631623</v>
      </c>
      <c r="K1265" s="1">
        <f t="shared" si="775"/>
        <v>1.7087549162955609</v>
      </c>
    </row>
    <row r="1266" spans="2:11" x14ac:dyDescent="0.35">
      <c r="B1266" s="5" t="str">
        <f t="shared" si="771"/>
        <v>SPS4</v>
      </c>
      <c r="C1266" s="5" t="str">
        <f t="shared" si="776"/>
        <v>CH</v>
      </c>
      <c r="D1266" t="s">
        <v>1185</v>
      </c>
      <c r="E1266" t="str">
        <f t="shared" si="777"/>
        <v>km/MJ</v>
      </c>
      <c r="F1266" s="1">
        <f t="shared" si="775"/>
        <v>1.3374527251491974</v>
      </c>
      <c r="G1266" s="1">
        <f t="shared" si="775"/>
        <v>1.337452725149199</v>
      </c>
      <c r="H1266" s="1">
        <f t="shared" si="775"/>
        <v>1.3374527251492045</v>
      </c>
      <c r="I1266" s="1">
        <f t="shared" si="775"/>
        <v>1.3374527251492008</v>
      </c>
      <c r="J1266" s="1">
        <f t="shared" si="775"/>
        <v>1.412898084189379</v>
      </c>
      <c r="K1266" s="1">
        <f t="shared" si="775"/>
        <v>1.565984261221385</v>
      </c>
    </row>
    <row r="1267" spans="2:11" x14ac:dyDescent="0.35">
      <c r="B1267" s="5" t="str">
        <f t="shared" si="771"/>
        <v>SPS4</v>
      </c>
      <c r="C1267" s="5" t="str">
        <f t="shared" si="776"/>
        <v>CH</v>
      </c>
      <c r="D1267" t="s">
        <v>1186</v>
      </c>
      <c r="E1267" t="str">
        <f t="shared" si="777"/>
        <v>km/MJ</v>
      </c>
      <c r="F1267" s="1">
        <f t="shared" si="775"/>
        <v>1.2949729235430825</v>
      </c>
      <c r="G1267" s="1">
        <f t="shared" si="775"/>
        <v>1.2949729235430802</v>
      </c>
      <c r="H1267" s="1">
        <f t="shared" si="775"/>
        <v>1.2949729235430807</v>
      </c>
      <c r="I1267" s="1">
        <f t="shared" si="775"/>
        <v>1.2949729235430816</v>
      </c>
      <c r="J1267" s="1">
        <f t="shared" si="775"/>
        <v>1.3613863151707992</v>
      </c>
      <c r="K1267" s="1">
        <f t="shared" si="775"/>
        <v>1.5341863022494668</v>
      </c>
    </row>
    <row r="1268" spans="2:11" x14ac:dyDescent="0.35">
      <c r="B1268" s="5" t="str">
        <f t="shared" ref="B1268:B1331" si="778">B1267</f>
        <v>SPS4</v>
      </c>
      <c r="C1268" s="5" t="str">
        <f t="shared" si="776"/>
        <v>CH</v>
      </c>
      <c r="D1268" t="s">
        <v>1187</v>
      </c>
      <c r="E1268" t="str">
        <f t="shared" si="777"/>
        <v>km/MJ</v>
      </c>
      <c r="F1268" s="1">
        <f t="shared" ref="F1268:K1271" si="779">IFERROR(F1217/SUM(F1141,F1174),"-")</f>
        <v>0.711288397564249</v>
      </c>
      <c r="G1268" s="1">
        <f t="shared" si="779"/>
        <v>0.75979341590988736</v>
      </c>
      <c r="H1268" s="1">
        <f t="shared" si="779"/>
        <v>0.77122549129730567</v>
      </c>
      <c r="I1268" s="1">
        <f t="shared" si="779"/>
        <v>0.81012750475435302</v>
      </c>
      <c r="J1268" s="1">
        <f t="shared" si="779"/>
        <v>0.94149027009467456</v>
      </c>
      <c r="K1268" s="1">
        <f t="shared" si="779"/>
        <v>1.1099072373615022</v>
      </c>
    </row>
    <row r="1269" spans="2:11" x14ac:dyDescent="0.35">
      <c r="B1269" s="5" t="str">
        <f t="shared" si="778"/>
        <v>SPS4</v>
      </c>
      <c r="C1269" s="5" t="str">
        <f t="shared" si="776"/>
        <v>CH</v>
      </c>
      <c r="D1269" t="s">
        <v>1188</v>
      </c>
      <c r="E1269" t="str">
        <f t="shared" si="777"/>
        <v>km/MJ</v>
      </c>
      <c r="F1269" s="1">
        <f t="shared" si="779"/>
        <v>0.59680778618470787</v>
      </c>
      <c r="G1269" s="1">
        <f t="shared" si="779"/>
        <v>0.58998492691721582</v>
      </c>
      <c r="H1269" s="1">
        <f t="shared" si="779"/>
        <v>0.60222481147954687</v>
      </c>
      <c r="I1269" s="1">
        <f t="shared" si="779"/>
        <v>0.60161583853186051</v>
      </c>
      <c r="J1269" s="1">
        <f t="shared" si="779"/>
        <v>0.79008328440527265</v>
      </c>
      <c r="K1269" s="1">
        <f t="shared" si="779"/>
        <v>0.91256661810426054</v>
      </c>
    </row>
    <row r="1270" spans="2:11" x14ac:dyDescent="0.35">
      <c r="B1270" s="5" t="str">
        <f t="shared" si="778"/>
        <v>SPS4</v>
      </c>
      <c r="C1270" s="5" t="str">
        <f t="shared" si="776"/>
        <v>CH</v>
      </c>
      <c r="D1270" t="s">
        <v>1189</v>
      </c>
      <c r="E1270" t="str">
        <f t="shared" si="777"/>
        <v>km/MJ</v>
      </c>
      <c r="F1270" s="1">
        <f t="shared" si="779"/>
        <v>0.54553563041385211</v>
      </c>
      <c r="G1270" s="1">
        <f t="shared" si="779"/>
        <v>0.60404344988489178</v>
      </c>
      <c r="H1270" s="1">
        <f t="shared" si="779"/>
        <v>0.61793309341464453</v>
      </c>
      <c r="I1270" s="1">
        <f t="shared" si="779"/>
        <v>0.66532064858186524</v>
      </c>
      <c r="J1270" s="1">
        <f t="shared" si="779"/>
        <v>0.77180135600334143</v>
      </c>
      <c r="K1270" s="1">
        <f t="shared" si="779"/>
        <v>0.9955325769188148</v>
      </c>
    </row>
    <row r="1271" spans="2:11" x14ac:dyDescent="0.35">
      <c r="B1271" s="5" t="str">
        <f t="shared" si="778"/>
        <v>SPS4</v>
      </c>
      <c r="C1271" s="5" t="str">
        <f t="shared" si="776"/>
        <v>CH</v>
      </c>
      <c r="D1271" t="s">
        <v>1190</v>
      </c>
      <c r="E1271" t="str">
        <f t="shared" si="777"/>
        <v>km/MJ</v>
      </c>
      <c r="F1271" s="1">
        <f t="shared" si="779"/>
        <v>0.51975568473665901</v>
      </c>
      <c r="G1271" s="1">
        <f t="shared" si="779"/>
        <v>0.52054225209172511</v>
      </c>
      <c r="H1271" s="1">
        <f t="shared" si="779"/>
        <v>0.53435040569840941</v>
      </c>
      <c r="I1271" s="1">
        <f t="shared" si="779"/>
        <v>0.54176715535448072</v>
      </c>
      <c r="J1271" s="1">
        <f t="shared" si="779"/>
        <v>0.72005569838900441</v>
      </c>
      <c r="K1271" s="1">
        <f t="shared" si="779"/>
        <v>0.86135778251544259</v>
      </c>
    </row>
    <row r="1272" spans="2:11" x14ac:dyDescent="0.35">
      <c r="B1272" s="5" t="str">
        <f t="shared" si="778"/>
        <v>SPS4</v>
      </c>
      <c r="C1272" s="5" t="str">
        <f t="shared" si="776"/>
        <v>CH</v>
      </c>
      <c r="D1272" t="s">
        <v>1191</v>
      </c>
      <c r="E1272" t="str">
        <f t="shared" si="777"/>
        <v>km/MJ</v>
      </c>
      <c r="F1272" s="1">
        <f t="shared" ref="F1272:K1275" si="780">IFERROR(F1221/SUM(F1145,F1197),"-")</f>
        <v>0.7284056958255688</v>
      </c>
      <c r="G1272" s="1">
        <f t="shared" si="780"/>
        <v>0.76941768023849422</v>
      </c>
      <c r="H1272" s="1">
        <f t="shared" si="780"/>
        <v>0.78309088722737275</v>
      </c>
      <c r="I1272" s="1">
        <f t="shared" si="780"/>
        <v>0.82242272044788611</v>
      </c>
      <c r="J1272" s="1">
        <f t="shared" si="780"/>
        <v>0.95572354474527621</v>
      </c>
      <c r="K1272" s="1">
        <f t="shared" si="780"/>
        <v>1.1120573445169595</v>
      </c>
    </row>
    <row r="1273" spans="2:11" x14ac:dyDescent="0.35">
      <c r="B1273" s="5" t="str">
        <f t="shared" si="778"/>
        <v>SPS4</v>
      </c>
      <c r="C1273" s="5" t="str">
        <f t="shared" si="776"/>
        <v>CH</v>
      </c>
      <c r="D1273" t="s">
        <v>1192</v>
      </c>
      <c r="E1273" t="str">
        <f t="shared" si="777"/>
        <v>km/MJ</v>
      </c>
      <c r="F1273" s="1">
        <f t="shared" si="780"/>
        <v>0.28544243665078217</v>
      </c>
      <c r="G1273" s="1">
        <f t="shared" si="780"/>
        <v>0.63697172926807433</v>
      </c>
      <c r="H1273" s="1">
        <f t="shared" si="780"/>
        <v>0.65035095738404058</v>
      </c>
      <c r="I1273" s="1">
        <f t="shared" si="780"/>
        <v>0.67572316525929399</v>
      </c>
      <c r="J1273" s="1">
        <f t="shared" si="780"/>
        <v>0.79613595916140134</v>
      </c>
      <c r="K1273" s="1">
        <f t="shared" si="780"/>
        <v>0.89228047735263538</v>
      </c>
    </row>
    <row r="1274" spans="2:11" x14ac:dyDescent="0.35">
      <c r="B1274" s="5" t="str">
        <f t="shared" si="778"/>
        <v>SPS4</v>
      </c>
      <c r="C1274" s="5" t="str">
        <f t="shared" si="776"/>
        <v>CH</v>
      </c>
      <c r="D1274" t="s">
        <v>1193</v>
      </c>
      <c r="E1274" t="str">
        <f t="shared" si="777"/>
        <v>km/MJ</v>
      </c>
      <c r="F1274" s="1">
        <f t="shared" si="780"/>
        <v>0.54927281998310462</v>
      </c>
      <c r="G1274" s="1">
        <f t="shared" si="780"/>
        <v>0.61200525240846981</v>
      </c>
      <c r="H1274" s="1">
        <f t="shared" si="780"/>
        <v>0.62626364458753292</v>
      </c>
      <c r="I1274" s="1">
        <f t="shared" si="780"/>
        <v>0.67374026599029746</v>
      </c>
      <c r="J1274" s="1">
        <f t="shared" si="780"/>
        <v>0.78095026019735436</v>
      </c>
      <c r="K1274" s="1">
        <f t="shared" si="780"/>
        <v>0.87591436434443282</v>
      </c>
    </row>
    <row r="1275" spans="2:11" x14ac:dyDescent="0.35">
      <c r="B1275" s="5" t="str">
        <f t="shared" si="778"/>
        <v>SPS4</v>
      </c>
      <c r="C1275" s="5" t="str">
        <f t="shared" si="776"/>
        <v>CH</v>
      </c>
      <c r="D1275" t="s">
        <v>1194</v>
      </c>
      <c r="E1275" t="str">
        <f t="shared" si="777"/>
        <v>km/MJ</v>
      </c>
      <c r="F1275" s="1">
        <f t="shared" si="780"/>
        <v>0.52692213967380119</v>
      </c>
      <c r="G1275" s="1">
        <f t="shared" si="780"/>
        <v>0.54267422912356511</v>
      </c>
      <c r="H1275" s="1">
        <f t="shared" si="780"/>
        <v>0.55114326488067944</v>
      </c>
      <c r="I1275" s="1">
        <f t="shared" si="780"/>
        <v>0.56366133488851577</v>
      </c>
      <c r="J1275" s="1">
        <f t="shared" si="780"/>
        <v>0.72504230053231888</v>
      </c>
      <c r="K1275" s="1">
        <f t="shared" si="780"/>
        <v>0.8065363674385182</v>
      </c>
    </row>
    <row r="1276" spans="2:11" x14ac:dyDescent="0.35">
      <c r="B1276" s="5" t="str">
        <f t="shared" si="778"/>
        <v>SPS4</v>
      </c>
      <c r="C1276" s="5" t="str">
        <f t="shared" si="776"/>
        <v>CH</v>
      </c>
      <c r="D1276" t="s">
        <v>1195</v>
      </c>
      <c r="E1276" t="str">
        <f t="shared" si="777"/>
        <v>km/MJ</v>
      </c>
      <c r="F1276" s="1" t="str">
        <f>IFERROR(F1225/F1151,"-")</f>
        <v>-</v>
      </c>
      <c r="G1276" s="1">
        <f t="shared" ref="G1276:K1276" si="781">IFERROR(G1225/G1151,"-")</f>
        <v>1.0965696656165207</v>
      </c>
      <c r="H1276" s="1">
        <f t="shared" si="781"/>
        <v>1.0965696656165198</v>
      </c>
      <c r="I1276" s="1">
        <f t="shared" si="781"/>
        <v>1.0965696656165207</v>
      </c>
      <c r="J1276" s="1">
        <f t="shared" si="781"/>
        <v>1.1930439667029311</v>
      </c>
      <c r="K1276" s="1">
        <f t="shared" si="781"/>
        <v>1.3084659852592073</v>
      </c>
    </row>
    <row r="1277" spans="2:11" x14ac:dyDescent="0.35">
      <c r="B1277" s="5" t="str">
        <f t="shared" si="778"/>
        <v>SPS4</v>
      </c>
      <c r="C1277" s="5" t="str">
        <f t="shared" si="776"/>
        <v>CH</v>
      </c>
      <c r="D1277" t="s">
        <v>1196</v>
      </c>
      <c r="E1277" t="str">
        <f t="shared" si="777"/>
        <v>km/MJ</v>
      </c>
      <c r="F1277" s="1">
        <f t="shared" ref="F1277:K1277" si="782">IFERROR(F1226/F1152,"-")</f>
        <v>0.89149519806162181</v>
      </c>
      <c r="G1277" s="1">
        <f t="shared" si="782"/>
        <v>0.8914951980616217</v>
      </c>
      <c r="H1277" s="1">
        <f t="shared" si="782"/>
        <v>0.89149519806162147</v>
      </c>
      <c r="I1277" s="1">
        <f t="shared" si="782"/>
        <v>0.8914951980616217</v>
      </c>
      <c r="J1277" s="1">
        <f t="shared" si="782"/>
        <v>0.97208305495341263</v>
      </c>
      <c r="K1277" s="1">
        <f t="shared" si="782"/>
        <v>1.0753107162617148</v>
      </c>
    </row>
    <row r="1278" spans="2:11" x14ac:dyDescent="0.35">
      <c r="B1278" s="5" t="str">
        <f t="shared" si="778"/>
        <v>SPS4</v>
      </c>
      <c r="C1278" s="5" t="str">
        <f t="shared" si="776"/>
        <v>CH</v>
      </c>
      <c r="D1278" t="s">
        <v>1197</v>
      </c>
      <c r="E1278" t="str">
        <f t="shared" si="777"/>
        <v>km/MJ</v>
      </c>
      <c r="F1278" s="1">
        <f t="shared" ref="F1278:K1278" si="783">IFERROR(F1227/F1153,"-")</f>
        <v>0.83000507256490641</v>
      </c>
      <c r="G1278" s="1">
        <f t="shared" si="783"/>
        <v>0.83000507256490696</v>
      </c>
      <c r="H1278" s="1">
        <f t="shared" si="783"/>
        <v>0.83000507256490841</v>
      </c>
      <c r="I1278" s="1">
        <f t="shared" si="783"/>
        <v>0.83000507256490497</v>
      </c>
      <c r="J1278" s="1">
        <f t="shared" si="783"/>
        <v>0.9048268485841946</v>
      </c>
      <c r="K1278" s="1">
        <f t="shared" si="783"/>
        <v>1.0092375905890978</v>
      </c>
    </row>
    <row r="1279" spans="2:11" x14ac:dyDescent="0.35">
      <c r="B1279" s="5" t="str">
        <f t="shared" si="778"/>
        <v>SPS4</v>
      </c>
      <c r="C1279" s="5" t="str">
        <f t="shared" si="776"/>
        <v>CH</v>
      </c>
      <c r="D1279" t="s">
        <v>1198</v>
      </c>
      <c r="E1279" t="str">
        <f t="shared" si="777"/>
        <v>km/MJ</v>
      </c>
      <c r="F1279" s="1" t="str">
        <f t="shared" ref="F1279:K1279" si="784">IFERROR(F1228/F1154,"-")</f>
        <v>-</v>
      </c>
      <c r="G1279" s="1">
        <f t="shared" si="784"/>
        <v>0.83675282096654258</v>
      </c>
      <c r="H1279" s="1">
        <f t="shared" si="784"/>
        <v>0.83675282096654191</v>
      </c>
      <c r="I1279" s="1">
        <f t="shared" si="784"/>
        <v>0.83675282096654413</v>
      </c>
      <c r="J1279" s="1">
        <f t="shared" si="784"/>
        <v>0.90953872936243252</v>
      </c>
      <c r="K1279" s="1">
        <f t="shared" si="784"/>
        <v>1.0097824550642953</v>
      </c>
    </row>
    <row r="1280" spans="2:11" x14ac:dyDescent="0.35">
      <c r="B1280" s="5" t="str">
        <f t="shared" si="778"/>
        <v>SPS4</v>
      </c>
      <c r="C1280" s="5" t="str">
        <f t="shared" si="776"/>
        <v>CH</v>
      </c>
      <c r="D1280" t="s">
        <v>1233</v>
      </c>
      <c r="E1280" t="str">
        <f t="shared" si="777"/>
        <v>km/MJ</v>
      </c>
      <c r="F1280" s="1">
        <f t="shared" ref="F1280:K1293" si="785">IFERROR(F1229/F1160,"-")</f>
        <v>0.49379534694678312</v>
      </c>
      <c r="G1280" s="1">
        <f t="shared" si="785"/>
        <v>0.50503220860251397</v>
      </c>
      <c r="H1280" s="1">
        <f t="shared" si="785"/>
        <v>0.52188750108610893</v>
      </c>
      <c r="I1280" s="1">
        <f t="shared" si="785"/>
        <v>0.54997965522543635</v>
      </c>
      <c r="J1280" s="1" t="str">
        <f t="shared" si="785"/>
        <v>-</v>
      </c>
      <c r="K1280" s="1" t="str">
        <f t="shared" si="785"/>
        <v>-</v>
      </c>
    </row>
    <row r="1281" spans="2:11" x14ac:dyDescent="0.35">
      <c r="B1281" s="5" t="str">
        <f t="shared" si="778"/>
        <v>SPS4</v>
      </c>
      <c r="C1281" s="5" t="str">
        <f t="shared" si="776"/>
        <v>CH</v>
      </c>
      <c r="D1281" t="s">
        <v>1199</v>
      </c>
      <c r="E1281" t="str">
        <f t="shared" si="777"/>
        <v>km/MJ</v>
      </c>
      <c r="F1281" s="1">
        <f t="shared" si="785"/>
        <v>1.1343687811697398</v>
      </c>
      <c r="G1281" s="1">
        <f t="shared" si="785"/>
        <v>1.1609545496674332</v>
      </c>
      <c r="H1281" s="1">
        <f t="shared" si="785"/>
        <v>1.1579489751061083</v>
      </c>
      <c r="I1281" s="1">
        <f t="shared" si="785"/>
        <v>1.1993572242367427</v>
      </c>
      <c r="J1281" s="1">
        <f t="shared" si="785"/>
        <v>0.95396325446800823</v>
      </c>
      <c r="K1281" s="1">
        <f t="shared" si="785"/>
        <v>0.95940194641824184</v>
      </c>
    </row>
    <row r="1282" spans="2:11" x14ac:dyDescent="0.35">
      <c r="B1282" s="5" t="str">
        <f t="shared" si="778"/>
        <v>SPS4</v>
      </c>
      <c r="C1282" s="5" t="str">
        <f t="shared" si="776"/>
        <v>CH</v>
      </c>
      <c r="D1282" t="s">
        <v>1200</v>
      </c>
      <c r="E1282" t="str">
        <f t="shared" si="777"/>
        <v>km/MJ</v>
      </c>
      <c r="F1282" s="1">
        <f t="shared" si="785"/>
        <v>1.6016632381952784</v>
      </c>
      <c r="G1282" s="1">
        <f t="shared" si="785"/>
        <v>2.0076102334128754</v>
      </c>
      <c r="H1282" s="1">
        <f t="shared" si="785"/>
        <v>1.9118065127198034</v>
      </c>
      <c r="I1282" s="1">
        <f t="shared" si="785"/>
        <v>1.9281359661356592</v>
      </c>
      <c r="J1282" s="1">
        <f t="shared" si="785"/>
        <v>0.79482926764955208</v>
      </c>
      <c r="K1282" s="1">
        <f t="shared" si="785"/>
        <v>0.86452893733936631</v>
      </c>
    </row>
    <row r="1283" spans="2:11" x14ac:dyDescent="0.35">
      <c r="B1283" s="5" t="str">
        <f t="shared" si="778"/>
        <v>SPS4</v>
      </c>
      <c r="C1283" s="5" t="str">
        <f t="shared" si="776"/>
        <v>CH</v>
      </c>
      <c r="D1283" t="s">
        <v>1201</v>
      </c>
      <c r="E1283" t="str">
        <f t="shared" si="777"/>
        <v>km/MJ</v>
      </c>
      <c r="F1283" s="1">
        <f t="shared" si="785"/>
        <v>1.9727959288995502</v>
      </c>
      <c r="G1283" s="1">
        <f t="shared" si="785"/>
        <v>2.4945373517859495</v>
      </c>
      <c r="H1283" s="1">
        <f t="shared" si="785"/>
        <v>2.4918578688252042</v>
      </c>
      <c r="I1283" s="1">
        <f t="shared" si="785"/>
        <v>2.5081805071519905</v>
      </c>
      <c r="J1283" s="1">
        <f t="shared" si="785"/>
        <v>0.71920051987867439</v>
      </c>
      <c r="K1283" s="1">
        <f t="shared" si="785"/>
        <v>0.75416700598069708</v>
      </c>
    </row>
    <row r="1284" spans="2:11" x14ac:dyDescent="0.35">
      <c r="B1284" s="5" t="str">
        <f t="shared" si="778"/>
        <v>SPS4</v>
      </c>
      <c r="C1284" s="5" t="str">
        <f t="shared" si="776"/>
        <v>CH</v>
      </c>
      <c r="D1284" t="s">
        <v>1202</v>
      </c>
      <c r="E1284" t="str">
        <f t="shared" si="777"/>
        <v>km/MJ</v>
      </c>
      <c r="F1284" s="1">
        <f t="shared" si="785"/>
        <v>1.1456280132137717</v>
      </c>
      <c r="G1284" s="1">
        <f t="shared" si="785"/>
        <v>1.3267695919156235</v>
      </c>
      <c r="H1284" s="1">
        <f t="shared" si="785"/>
        <v>1.3254034143872064</v>
      </c>
      <c r="I1284" s="1">
        <f t="shared" si="785"/>
        <v>1.335707687879415</v>
      </c>
      <c r="J1284" s="1">
        <f t="shared" si="785"/>
        <v>0.70141386314326748</v>
      </c>
      <c r="K1284" s="1">
        <f t="shared" si="785"/>
        <v>0.76450185742798238</v>
      </c>
    </row>
    <row r="1285" spans="2:11" x14ac:dyDescent="0.35">
      <c r="B1285" s="5" t="str">
        <f t="shared" si="778"/>
        <v>SPS4</v>
      </c>
      <c r="C1285" s="5" t="str">
        <f t="shared" si="776"/>
        <v>CH</v>
      </c>
      <c r="D1285" t="s">
        <v>1203</v>
      </c>
      <c r="E1285" t="str">
        <f t="shared" si="777"/>
        <v>km/MJ</v>
      </c>
      <c r="F1285" s="1">
        <f t="shared" si="785"/>
        <v>0.28603940550919482</v>
      </c>
      <c r="G1285" s="1">
        <f t="shared" si="785"/>
        <v>0.29254854993039731</v>
      </c>
      <c r="H1285" s="1">
        <f t="shared" si="785"/>
        <v>0.3023122665622005</v>
      </c>
      <c r="I1285" s="1">
        <f t="shared" si="785"/>
        <v>0.31858512761520652</v>
      </c>
      <c r="J1285" s="1" t="str">
        <f t="shared" si="785"/>
        <v>-</v>
      </c>
      <c r="K1285" s="1" t="str">
        <f t="shared" si="785"/>
        <v>-</v>
      </c>
    </row>
    <row r="1286" spans="2:11" x14ac:dyDescent="0.35">
      <c r="B1286" s="5" t="str">
        <f t="shared" si="778"/>
        <v>SPS4</v>
      </c>
      <c r="C1286" s="5" t="str">
        <f t="shared" si="776"/>
        <v>CH</v>
      </c>
      <c r="D1286" t="s">
        <v>1204</v>
      </c>
      <c r="E1286" t="str">
        <f t="shared" si="777"/>
        <v>km/MJ</v>
      </c>
      <c r="F1286" s="1">
        <f t="shared" si="785"/>
        <v>0.68273865622992203</v>
      </c>
      <c r="G1286" s="1">
        <f t="shared" si="785"/>
        <v>0.67609709193112666</v>
      </c>
      <c r="H1286" s="1">
        <f t="shared" si="785"/>
        <v>0.62767067482551553</v>
      </c>
      <c r="I1286" s="1">
        <f t="shared" si="785"/>
        <v>0.62751437306463931</v>
      </c>
      <c r="J1286" s="1">
        <f t="shared" si="785"/>
        <v>0.59960837445959603</v>
      </c>
      <c r="K1286" s="1">
        <f t="shared" si="785"/>
        <v>0.67960411721281977</v>
      </c>
    </row>
    <row r="1287" spans="2:11" x14ac:dyDescent="0.35">
      <c r="B1287" s="5" t="str">
        <f t="shared" si="778"/>
        <v>SPS4</v>
      </c>
      <c r="C1287" s="5" t="str">
        <f t="shared" si="776"/>
        <v>CH</v>
      </c>
      <c r="D1287" t="s">
        <v>1205</v>
      </c>
      <c r="E1287" t="str">
        <f t="shared" si="777"/>
        <v>km/MJ</v>
      </c>
      <c r="F1287" s="1">
        <f t="shared" si="785"/>
        <v>0.60622847920126466</v>
      </c>
      <c r="G1287" s="1">
        <f t="shared" si="785"/>
        <v>0.60445856375561224</v>
      </c>
      <c r="H1287" s="1">
        <f t="shared" si="785"/>
        <v>0.60412358779135911</v>
      </c>
      <c r="I1287" s="1">
        <f t="shared" si="785"/>
        <v>0.60877403634769867</v>
      </c>
      <c r="J1287" s="1">
        <f t="shared" si="785"/>
        <v>0.52369276823711997</v>
      </c>
      <c r="K1287" s="1">
        <f t="shared" si="785"/>
        <v>0.54393066027757608</v>
      </c>
    </row>
    <row r="1288" spans="2:11" x14ac:dyDescent="0.35">
      <c r="B1288" s="5" t="str">
        <f t="shared" si="778"/>
        <v>SPS4</v>
      </c>
      <c r="C1288" s="5" t="str">
        <f t="shared" si="776"/>
        <v>CH</v>
      </c>
      <c r="D1288" t="s">
        <v>1206</v>
      </c>
      <c r="E1288" t="str">
        <f t="shared" si="777"/>
        <v>km/MJ</v>
      </c>
      <c r="F1288" s="1">
        <f t="shared" si="785"/>
        <v>0.51664552862639679</v>
      </c>
      <c r="G1288" s="1">
        <f t="shared" si="785"/>
        <v>0.5160272100296095</v>
      </c>
      <c r="H1288" s="1">
        <f t="shared" si="785"/>
        <v>0.50993169912319947</v>
      </c>
      <c r="I1288" s="1">
        <f t="shared" si="785"/>
        <v>0.5128888229591182</v>
      </c>
      <c r="J1288" s="1">
        <f t="shared" si="785"/>
        <v>0.48163399780254817</v>
      </c>
      <c r="K1288" s="1">
        <f t="shared" si="785"/>
        <v>0.51509338614080191</v>
      </c>
    </row>
    <row r="1289" spans="2:11" x14ac:dyDescent="0.35">
      <c r="B1289" s="5" t="str">
        <f t="shared" si="778"/>
        <v>SPS4</v>
      </c>
      <c r="C1289" s="5" t="str">
        <f t="shared" si="776"/>
        <v>CH</v>
      </c>
      <c r="D1289" t="s">
        <v>1207</v>
      </c>
      <c r="E1289" t="str">
        <f t="shared" si="777"/>
        <v>km/MJ</v>
      </c>
      <c r="F1289" s="1">
        <f t="shared" si="785"/>
        <v>0.44023015366222695</v>
      </c>
      <c r="G1289" s="1">
        <f t="shared" si="785"/>
        <v>0.43329724165603606</v>
      </c>
      <c r="H1289" s="1">
        <f t="shared" si="785"/>
        <v>0.43397241144825893</v>
      </c>
      <c r="I1289" s="1">
        <f t="shared" si="785"/>
        <v>0.43667791669925693</v>
      </c>
      <c r="J1289" s="1">
        <f t="shared" si="785"/>
        <v>0.48144395377623961</v>
      </c>
      <c r="K1289" s="1">
        <f t="shared" si="785"/>
        <v>0.55661521880413756</v>
      </c>
    </row>
    <row r="1290" spans="2:11" x14ac:dyDescent="0.35">
      <c r="B1290" s="5" t="str">
        <f t="shared" si="778"/>
        <v>SPS4</v>
      </c>
      <c r="C1290" s="5" t="str">
        <f t="shared" si="776"/>
        <v>CH</v>
      </c>
      <c r="D1290" t="s">
        <v>1208</v>
      </c>
      <c r="E1290" t="str">
        <f t="shared" si="777"/>
        <v>km/MJ</v>
      </c>
      <c r="F1290" s="1" t="str">
        <f t="shared" si="785"/>
        <v>-</v>
      </c>
      <c r="G1290" s="1">
        <f t="shared" si="785"/>
        <v>0.51837627625535165</v>
      </c>
      <c r="H1290" s="1">
        <f t="shared" si="785"/>
        <v>0.55248442512784601</v>
      </c>
      <c r="I1290" s="1">
        <f t="shared" si="785"/>
        <v>0.55314161348606483</v>
      </c>
      <c r="J1290" s="1">
        <f t="shared" si="785"/>
        <v>0.56313381150127639</v>
      </c>
      <c r="K1290" s="1">
        <f t="shared" si="785"/>
        <v>0.74346698438482917</v>
      </c>
    </row>
    <row r="1291" spans="2:11" x14ac:dyDescent="0.35">
      <c r="B1291" s="5" t="str">
        <f t="shared" si="778"/>
        <v>SPS4</v>
      </c>
      <c r="C1291" s="5" t="str">
        <f t="shared" si="776"/>
        <v>CH</v>
      </c>
      <c r="D1291" t="s">
        <v>1209</v>
      </c>
      <c r="E1291" t="str">
        <f t="shared" si="777"/>
        <v>km/MJ</v>
      </c>
      <c r="F1291" s="1" t="str">
        <f t="shared" si="785"/>
        <v>-</v>
      </c>
      <c r="G1291" s="1">
        <f t="shared" si="785"/>
        <v>0.41733711223535058</v>
      </c>
      <c r="H1291" s="1">
        <f t="shared" si="785"/>
        <v>0.44217806882066396</v>
      </c>
      <c r="I1291" s="1">
        <f t="shared" si="785"/>
        <v>0.47655840692537166</v>
      </c>
      <c r="J1291" s="1">
        <f t="shared" si="785"/>
        <v>0.5346165720974817</v>
      </c>
      <c r="K1291" s="1">
        <f t="shared" si="785"/>
        <v>0.61755970539863103</v>
      </c>
    </row>
    <row r="1292" spans="2:11" x14ac:dyDescent="0.35">
      <c r="B1292" s="5" t="str">
        <f t="shared" si="778"/>
        <v>SPS4</v>
      </c>
      <c r="C1292" s="5" t="str">
        <f t="shared" si="776"/>
        <v>CH</v>
      </c>
      <c r="D1292" t="s">
        <v>1210</v>
      </c>
      <c r="E1292" t="str">
        <f t="shared" si="777"/>
        <v>km/MJ</v>
      </c>
      <c r="F1292" s="1" t="str">
        <f t="shared" si="785"/>
        <v>-</v>
      </c>
      <c r="G1292" s="1">
        <f t="shared" si="785"/>
        <v>0.38796990995538716</v>
      </c>
      <c r="H1292" s="1">
        <f t="shared" si="785"/>
        <v>0.40920453612621949</v>
      </c>
      <c r="I1292" s="1">
        <f t="shared" si="785"/>
        <v>0.43688007637492493</v>
      </c>
      <c r="J1292" s="1">
        <f t="shared" si="785"/>
        <v>0.51136246697969256</v>
      </c>
      <c r="K1292" s="1">
        <f t="shared" si="785"/>
        <v>0.59592094337271728</v>
      </c>
    </row>
    <row r="1293" spans="2:11" x14ac:dyDescent="0.35">
      <c r="B1293" s="5" t="str">
        <f t="shared" si="778"/>
        <v>SPS4</v>
      </c>
      <c r="C1293" s="5" t="str">
        <f t="shared" si="776"/>
        <v>CH</v>
      </c>
      <c r="D1293" t="s">
        <v>1211</v>
      </c>
      <c r="E1293" t="str">
        <f t="shared" si="777"/>
        <v>km/MJ</v>
      </c>
      <c r="F1293" s="1" t="str">
        <f t="shared" si="785"/>
        <v>-</v>
      </c>
      <c r="G1293" s="1">
        <f t="shared" si="785"/>
        <v>0.39332458747711413</v>
      </c>
      <c r="H1293" s="1">
        <f t="shared" si="785"/>
        <v>0.41587947602904107</v>
      </c>
      <c r="I1293" s="1">
        <f t="shared" si="785"/>
        <v>0.46428095578828849</v>
      </c>
      <c r="J1293" s="1">
        <f t="shared" si="785"/>
        <v>0.52808917946357126</v>
      </c>
      <c r="K1293" s="1">
        <f t="shared" si="785"/>
        <v>0.66123779417404838</v>
      </c>
    </row>
    <row r="1294" spans="2:11" x14ac:dyDescent="0.35">
      <c r="B1294" s="5" t="str">
        <f t="shared" si="778"/>
        <v>SPS4</v>
      </c>
      <c r="C1294" s="5" t="str">
        <f t="shared" si="776"/>
        <v>CH</v>
      </c>
      <c r="D1294" t="s">
        <v>1235</v>
      </c>
      <c r="E1294" t="str">
        <f t="shared" si="777"/>
        <v>km/MJ</v>
      </c>
      <c r="F1294" s="1" t="str">
        <f t="shared" ref="F1294:K1307" si="786">IFERROR(F1243/F1183,"-")</f>
        <v>-</v>
      </c>
      <c r="G1294" s="1" t="str">
        <f t="shared" si="786"/>
        <v>-</v>
      </c>
      <c r="H1294" s="1" t="str">
        <f t="shared" si="786"/>
        <v>-</v>
      </c>
      <c r="I1294" s="1" t="str">
        <f t="shared" si="786"/>
        <v>-</v>
      </c>
      <c r="J1294" s="1" t="str">
        <f t="shared" si="786"/>
        <v>-</v>
      </c>
      <c r="K1294" s="1" t="str">
        <f t="shared" si="786"/>
        <v>-</v>
      </c>
    </row>
    <row r="1295" spans="2:11" x14ac:dyDescent="0.35">
      <c r="B1295" s="5" t="str">
        <f t="shared" si="778"/>
        <v>SPS4</v>
      </c>
      <c r="C1295" s="5" t="str">
        <f t="shared" si="776"/>
        <v>CH</v>
      </c>
      <c r="D1295" t="s">
        <v>1212</v>
      </c>
      <c r="E1295" t="str">
        <f t="shared" si="777"/>
        <v>km/MJ</v>
      </c>
      <c r="F1295" s="1">
        <f t="shared" si="786"/>
        <v>0.41824117647058795</v>
      </c>
      <c r="G1295" s="1">
        <f t="shared" si="786"/>
        <v>1.6975842477301566</v>
      </c>
      <c r="H1295" s="1">
        <f t="shared" si="786"/>
        <v>1.6944912922898518</v>
      </c>
      <c r="I1295" s="1">
        <f t="shared" si="786"/>
        <v>1.6912924647601715</v>
      </c>
      <c r="J1295" s="1">
        <f t="shared" si="786"/>
        <v>0.93690352350974104</v>
      </c>
      <c r="K1295" s="1">
        <f t="shared" si="786"/>
        <v>0.94308965374889198</v>
      </c>
    </row>
    <row r="1296" spans="2:11" x14ac:dyDescent="0.35">
      <c r="B1296" s="5" t="str">
        <f t="shared" si="778"/>
        <v>SPS4</v>
      </c>
      <c r="C1296" s="5" t="str">
        <f t="shared" si="776"/>
        <v>CH</v>
      </c>
      <c r="D1296" t="s">
        <v>1213</v>
      </c>
      <c r="E1296" t="str">
        <f t="shared" si="777"/>
        <v>km/MJ</v>
      </c>
      <c r="F1296" s="1">
        <f t="shared" si="786"/>
        <v>1.172515518228826</v>
      </c>
      <c r="G1296" s="1">
        <f t="shared" si="786"/>
        <v>2.6808629163075861</v>
      </c>
      <c r="H1296" s="1">
        <f t="shared" si="786"/>
        <v>2.3298490060586774</v>
      </c>
      <c r="I1296" s="1">
        <f t="shared" si="786"/>
        <v>2.3112848722040669</v>
      </c>
      <c r="J1296" s="1">
        <f t="shared" si="786"/>
        <v>1.07696225111091</v>
      </c>
      <c r="K1296" s="1">
        <f t="shared" si="786"/>
        <v>0.88740690336208272</v>
      </c>
    </row>
    <row r="1297" spans="2:11" x14ac:dyDescent="0.35">
      <c r="B1297" s="5" t="str">
        <f t="shared" si="778"/>
        <v>SPS4</v>
      </c>
      <c r="C1297" s="5" t="str">
        <f t="shared" si="776"/>
        <v>CH</v>
      </c>
      <c r="D1297" t="s">
        <v>1214</v>
      </c>
      <c r="E1297" t="str">
        <f t="shared" si="777"/>
        <v>km/MJ</v>
      </c>
      <c r="F1297" s="1">
        <f t="shared" si="786"/>
        <v>0.89666434244695303</v>
      </c>
      <c r="G1297" s="1">
        <f t="shared" si="786"/>
        <v>1.1920266796315802</v>
      </c>
      <c r="H1297" s="1">
        <f t="shared" si="786"/>
        <v>1.1878833481656925</v>
      </c>
      <c r="I1297" s="1">
        <f t="shared" si="786"/>
        <v>1.2562530333780952</v>
      </c>
      <c r="J1297" s="1">
        <f t="shared" si="786"/>
        <v>0.71155853473401187</v>
      </c>
      <c r="K1297" s="1">
        <f t="shared" si="786"/>
        <v>0.75376889507432165</v>
      </c>
    </row>
    <row r="1298" spans="2:11" x14ac:dyDescent="0.35">
      <c r="B1298" s="5" t="str">
        <f t="shared" si="778"/>
        <v>SPS4</v>
      </c>
      <c r="C1298" s="5" t="str">
        <f t="shared" si="776"/>
        <v>CH</v>
      </c>
      <c r="D1298" t="s">
        <v>1215</v>
      </c>
      <c r="E1298" t="str">
        <f t="shared" si="777"/>
        <v>km/MJ</v>
      </c>
      <c r="F1298" s="1">
        <f t="shared" si="786"/>
        <v>1.345495270797298</v>
      </c>
      <c r="G1298" s="1">
        <f t="shared" si="786"/>
        <v>1.5780770615706379</v>
      </c>
      <c r="H1298" s="1">
        <f t="shared" si="786"/>
        <v>1.586937591636814</v>
      </c>
      <c r="I1298" s="1">
        <f t="shared" si="786"/>
        <v>1.6176425793559703</v>
      </c>
      <c r="J1298" s="1">
        <f t="shared" si="786"/>
        <v>0.70152221437980333</v>
      </c>
      <c r="K1298" s="1">
        <f t="shared" si="786"/>
        <v>0.7643331788843718</v>
      </c>
    </row>
    <row r="1299" spans="2:11" x14ac:dyDescent="0.35">
      <c r="B1299" s="5" t="str">
        <f t="shared" si="778"/>
        <v>SPS4</v>
      </c>
      <c r="C1299" s="5" t="str">
        <f t="shared" si="776"/>
        <v>CH</v>
      </c>
      <c r="D1299" t="s">
        <v>1216</v>
      </c>
      <c r="E1299" t="str">
        <f t="shared" si="777"/>
        <v>km/MJ</v>
      </c>
      <c r="F1299" s="1">
        <f t="shared" si="786"/>
        <v>0.33901850024086017</v>
      </c>
      <c r="G1299" s="1">
        <f t="shared" si="786"/>
        <v>0.35391427166601069</v>
      </c>
      <c r="H1299" s="1">
        <f t="shared" si="786"/>
        <v>0.37625792880373726</v>
      </c>
      <c r="I1299" s="1">
        <f t="shared" si="786"/>
        <v>0.41349735736661469</v>
      </c>
      <c r="J1299" s="1" t="str">
        <f t="shared" si="786"/>
        <v>-</v>
      </c>
      <c r="K1299" s="1" t="str">
        <f t="shared" si="786"/>
        <v>-</v>
      </c>
    </row>
    <row r="1300" spans="2:11" x14ac:dyDescent="0.35">
      <c r="B1300" s="5" t="str">
        <f t="shared" si="778"/>
        <v>SPS4</v>
      </c>
      <c r="C1300" s="5" t="str">
        <f t="shared" si="776"/>
        <v>CH</v>
      </c>
      <c r="D1300" t="s">
        <v>1217</v>
      </c>
      <c r="E1300" t="str">
        <f t="shared" si="777"/>
        <v>km/MJ</v>
      </c>
      <c r="F1300" s="1">
        <f t="shared" si="786"/>
        <v>0.74989007057510038</v>
      </c>
      <c r="G1300" s="1">
        <f t="shared" si="786"/>
        <v>0.771112020435474</v>
      </c>
      <c r="H1300" s="1">
        <f t="shared" si="786"/>
        <v>0.77788640894424943</v>
      </c>
      <c r="I1300" s="1">
        <f t="shared" si="786"/>
        <v>0.78688319943505813</v>
      </c>
      <c r="J1300" s="1">
        <f t="shared" si="786"/>
        <v>0.66829585991666396</v>
      </c>
      <c r="K1300" s="1">
        <f t="shared" si="786"/>
        <v>0.70019578989871745</v>
      </c>
    </row>
    <row r="1301" spans="2:11" x14ac:dyDescent="0.35">
      <c r="B1301" s="5" t="str">
        <f t="shared" si="778"/>
        <v>SPS4</v>
      </c>
      <c r="C1301" s="5" t="str">
        <f t="shared" si="776"/>
        <v>CH</v>
      </c>
      <c r="D1301" t="s">
        <v>1218</v>
      </c>
      <c r="E1301" t="str">
        <f t="shared" si="777"/>
        <v>km/MJ</v>
      </c>
      <c r="F1301" s="1">
        <f t="shared" si="786"/>
        <v>0.69638486049194848</v>
      </c>
      <c r="G1301" s="1">
        <f t="shared" si="786"/>
        <v>0.70375215380797196</v>
      </c>
      <c r="H1301" s="1">
        <f t="shared" si="786"/>
        <v>0.73484998045942251</v>
      </c>
      <c r="I1301" s="1">
        <f t="shared" si="786"/>
        <v>0.76175358880898214</v>
      </c>
      <c r="J1301" s="1">
        <f t="shared" si="786"/>
        <v>0.53329169702733403</v>
      </c>
      <c r="K1301" s="1">
        <f t="shared" si="786"/>
        <v>0.56351497773413428</v>
      </c>
    </row>
    <row r="1302" spans="2:11" x14ac:dyDescent="0.35">
      <c r="B1302" s="5" t="str">
        <f t="shared" si="778"/>
        <v>SPS4</v>
      </c>
      <c r="C1302" s="5" t="str">
        <f t="shared" si="776"/>
        <v>CH</v>
      </c>
      <c r="D1302" t="s">
        <v>1219</v>
      </c>
      <c r="E1302" t="str">
        <f t="shared" si="777"/>
        <v>km/MJ</v>
      </c>
      <c r="F1302" s="1">
        <f t="shared" si="786"/>
        <v>0.52786165150841613</v>
      </c>
      <c r="G1302" s="1">
        <f t="shared" si="786"/>
        <v>0.53242127445338494</v>
      </c>
      <c r="H1302" s="1">
        <f t="shared" si="786"/>
        <v>0.53195619110317971</v>
      </c>
      <c r="I1302" s="1">
        <f t="shared" si="786"/>
        <v>0.54121028459350784</v>
      </c>
      <c r="J1302" s="1">
        <f t="shared" si="786"/>
        <v>0.49189538772384089</v>
      </c>
      <c r="K1302" s="1">
        <f t="shared" si="786"/>
        <v>0.52936912910569722</v>
      </c>
    </row>
    <row r="1303" spans="2:11" x14ac:dyDescent="0.35">
      <c r="B1303" s="5" t="str">
        <f t="shared" si="778"/>
        <v>SPS4</v>
      </c>
      <c r="C1303" s="5" t="str">
        <f t="shared" si="776"/>
        <v>CH</v>
      </c>
      <c r="D1303" t="s">
        <v>1220</v>
      </c>
      <c r="E1303" t="str">
        <f t="shared" si="777"/>
        <v>km/MJ</v>
      </c>
      <c r="F1303" s="1">
        <f t="shared" si="786"/>
        <v>0.4660546459522576</v>
      </c>
      <c r="G1303" s="1">
        <f t="shared" si="786"/>
        <v>0.45574793160864341</v>
      </c>
      <c r="H1303" s="1">
        <f t="shared" si="786"/>
        <v>0.4568995240610344</v>
      </c>
      <c r="I1303" s="1">
        <f t="shared" si="786"/>
        <v>0.4631963106133975</v>
      </c>
      <c r="J1303" s="1">
        <f t="shared" si="786"/>
        <v>0.46132230412891395</v>
      </c>
      <c r="K1303" s="1">
        <f t="shared" si="786"/>
        <v>0.50162004703769159</v>
      </c>
    </row>
    <row r="1304" spans="2:11" x14ac:dyDescent="0.35">
      <c r="B1304" s="5" t="str">
        <f t="shared" si="778"/>
        <v>SPS4</v>
      </c>
      <c r="C1304" s="5" t="str">
        <f t="shared" si="776"/>
        <v>CH</v>
      </c>
      <c r="D1304" t="s">
        <v>1221</v>
      </c>
      <c r="E1304" t="str">
        <f t="shared" si="777"/>
        <v>km/MJ</v>
      </c>
      <c r="F1304" s="1" t="str">
        <f t="shared" si="786"/>
        <v>-</v>
      </c>
      <c r="G1304" s="1">
        <f t="shared" si="786"/>
        <v>0.56203544748554612</v>
      </c>
      <c r="H1304" s="1">
        <f t="shared" si="786"/>
        <v>0.59238408444507684</v>
      </c>
      <c r="I1304" s="1">
        <f t="shared" si="786"/>
        <v>0.63913307216471937</v>
      </c>
      <c r="J1304" s="1">
        <f t="shared" si="786"/>
        <v>0.64685338802555137</v>
      </c>
      <c r="K1304" s="1">
        <f t="shared" si="786"/>
        <v>0.71024226678061675</v>
      </c>
    </row>
    <row r="1305" spans="2:11" x14ac:dyDescent="0.35">
      <c r="B1305" s="5" t="str">
        <f t="shared" si="778"/>
        <v>SPS4</v>
      </c>
      <c r="C1305" s="5" t="str">
        <f t="shared" si="776"/>
        <v>CH</v>
      </c>
      <c r="D1305" t="s">
        <v>1222</v>
      </c>
      <c r="E1305" t="str">
        <f t="shared" si="777"/>
        <v>km/MJ</v>
      </c>
      <c r="F1305" s="1" t="str">
        <f t="shared" si="786"/>
        <v>-</v>
      </c>
      <c r="G1305" s="1">
        <f t="shared" si="786"/>
        <v>0.45210145766281401</v>
      </c>
      <c r="H1305" s="1">
        <f t="shared" si="786"/>
        <v>0.47444955923994864</v>
      </c>
      <c r="I1305" s="1">
        <f t="shared" si="786"/>
        <v>0.52107003246280159</v>
      </c>
      <c r="J1305" s="1">
        <f t="shared" si="786"/>
        <v>0.52675416389154595</v>
      </c>
      <c r="K1305" s="1">
        <f t="shared" si="786"/>
        <v>0.62289142952042398</v>
      </c>
    </row>
    <row r="1306" spans="2:11" x14ac:dyDescent="0.35">
      <c r="B1306" s="5" t="str">
        <f t="shared" si="778"/>
        <v>SPS4</v>
      </c>
      <c r="C1306" s="5" t="str">
        <f t="shared" si="776"/>
        <v>CH</v>
      </c>
      <c r="D1306" t="s">
        <v>1223</v>
      </c>
      <c r="E1306" t="str">
        <f t="shared" si="777"/>
        <v>km/MJ</v>
      </c>
      <c r="F1306" s="1" t="str">
        <f t="shared" si="786"/>
        <v>-</v>
      </c>
      <c r="G1306" s="1">
        <f t="shared" si="786"/>
        <v>0.42028149632876904</v>
      </c>
      <c r="H1306" s="1">
        <f t="shared" si="786"/>
        <v>0.43960875034817404</v>
      </c>
      <c r="I1306" s="1">
        <f t="shared" si="786"/>
        <v>0.47501387483676488</v>
      </c>
      <c r="J1306" s="1">
        <f t="shared" si="786"/>
        <v>0.58465546978831273</v>
      </c>
      <c r="K1306" s="1">
        <f t="shared" si="786"/>
        <v>0.67611953556298499</v>
      </c>
    </row>
    <row r="1307" spans="2:11" x14ac:dyDescent="0.35">
      <c r="B1307" s="5" t="str">
        <f t="shared" si="778"/>
        <v>SPS4</v>
      </c>
      <c r="C1307" s="5" t="str">
        <f t="shared" si="776"/>
        <v>CH</v>
      </c>
      <c r="D1307" t="s">
        <v>1224</v>
      </c>
      <c r="E1307" t="str">
        <f t="shared" si="777"/>
        <v>km/MJ</v>
      </c>
      <c r="F1307" s="1" t="str">
        <f t="shared" si="786"/>
        <v>-</v>
      </c>
      <c r="G1307" s="1">
        <f t="shared" si="786"/>
        <v>0.39943403925494753</v>
      </c>
      <c r="H1307" s="1">
        <f t="shared" si="786"/>
        <v>0.41510593367870424</v>
      </c>
      <c r="I1307" s="1">
        <f t="shared" si="786"/>
        <v>0.43672476230314405</v>
      </c>
      <c r="J1307" s="1">
        <f t="shared" si="786"/>
        <v>0.51671664825003616</v>
      </c>
      <c r="K1307" s="1">
        <f t="shared" si="786"/>
        <v>0.59386824448853037</v>
      </c>
    </row>
    <row r="1308" spans="2:11" x14ac:dyDescent="0.35">
      <c r="B1308" s="5" t="str">
        <f t="shared" si="778"/>
        <v>SPS4</v>
      </c>
      <c r="C1308" s="5" t="str">
        <f t="shared" si="776"/>
        <v>CH</v>
      </c>
      <c r="D1308" t="s">
        <v>1225</v>
      </c>
      <c r="E1308" t="str">
        <f t="shared" si="777"/>
        <v>km/MJ</v>
      </c>
      <c r="F1308" s="1" t="str">
        <f>IFERROR(F1257/F1206,"-")</f>
        <v>-</v>
      </c>
      <c r="G1308" s="1">
        <f t="shared" ref="G1308:K1312" si="787">IFERROR(G1257/G1197,"-")</f>
        <v>0</v>
      </c>
      <c r="H1308" s="1">
        <f t="shared" si="787"/>
        <v>0</v>
      </c>
      <c r="I1308" s="1">
        <f t="shared" si="787"/>
        <v>0</v>
      </c>
      <c r="J1308" s="1">
        <f t="shared" si="787"/>
        <v>0</v>
      </c>
      <c r="K1308" s="1">
        <f t="shared" si="787"/>
        <v>0</v>
      </c>
    </row>
    <row r="1309" spans="2:11" x14ac:dyDescent="0.35">
      <c r="B1309" s="5" t="str">
        <f t="shared" si="778"/>
        <v>SPS4</v>
      </c>
      <c r="C1309" s="5" t="str">
        <f t="shared" si="776"/>
        <v>CH</v>
      </c>
      <c r="D1309" t="s">
        <v>1226</v>
      </c>
      <c r="E1309" t="str">
        <f t="shared" si="777"/>
        <v>km/MJ</v>
      </c>
      <c r="F1309" s="1">
        <f>IFERROR(F1258/F1207,"-")</f>
        <v>0.61536947624441307</v>
      </c>
      <c r="G1309" s="1">
        <f t="shared" si="787"/>
        <v>2.5684794501984345</v>
      </c>
      <c r="H1309" s="1">
        <f t="shared" si="787"/>
        <v>0.67107379840027592</v>
      </c>
      <c r="I1309" s="1">
        <f t="shared" si="787"/>
        <v>2.7094735257756429E-2</v>
      </c>
      <c r="J1309" s="1">
        <f t="shared" si="787"/>
        <v>1.3953332274726645E-2</v>
      </c>
      <c r="K1309" s="1">
        <f t="shared" si="787"/>
        <v>1.7907253602011952E-2</v>
      </c>
    </row>
    <row r="1310" spans="2:11" x14ac:dyDescent="0.35">
      <c r="B1310" s="5" t="str">
        <f t="shared" si="778"/>
        <v>SPS4</v>
      </c>
      <c r="C1310" s="5" t="str">
        <f t="shared" si="776"/>
        <v>CH</v>
      </c>
      <c r="D1310" t="s">
        <v>1227</v>
      </c>
      <c r="E1310" t="str">
        <f t="shared" si="777"/>
        <v>km/MJ</v>
      </c>
      <c r="F1310" s="1">
        <f>IFERROR(F1259/F1208,"-")</f>
        <v>0.63145392228782149</v>
      </c>
      <c r="G1310" s="1">
        <f t="shared" si="787"/>
        <v>1.9588240973261875</v>
      </c>
      <c r="H1310" s="1">
        <f t="shared" si="787"/>
        <v>2.4701101706374875E-2</v>
      </c>
      <c r="I1310" s="1">
        <f t="shared" si="787"/>
        <v>1.554670154575618E-5</v>
      </c>
      <c r="J1310" s="1">
        <f t="shared" si="787"/>
        <v>7.9445930609618499E-6</v>
      </c>
      <c r="K1310" s="1">
        <f t="shared" si="787"/>
        <v>6.851650455086169E-6</v>
      </c>
    </row>
    <row r="1311" spans="2:11" x14ac:dyDescent="0.35">
      <c r="B1311" s="5" t="str">
        <f t="shared" si="778"/>
        <v>SPS4</v>
      </c>
      <c r="C1311" s="5" t="str">
        <f t="shared" si="776"/>
        <v>CH</v>
      </c>
      <c r="D1311" t="s">
        <v>1228</v>
      </c>
      <c r="E1311" t="str">
        <f t="shared" si="777"/>
        <v>km/MJ</v>
      </c>
      <c r="F1311" s="1">
        <f>IFERROR(F1260/F1209,"-")</f>
        <v>0.46798081813177839</v>
      </c>
      <c r="G1311" s="1">
        <f t="shared" si="787"/>
        <v>9.7523921129769334E-2</v>
      </c>
      <c r="H1311" s="1">
        <f t="shared" si="787"/>
        <v>0.11213517587412121</v>
      </c>
      <c r="I1311" s="1">
        <f t="shared" si="787"/>
        <v>1.4477240142615512E-2</v>
      </c>
      <c r="J1311" s="1">
        <f t="shared" si="787"/>
        <v>2.6630963281708334E-2</v>
      </c>
      <c r="K1311" s="1">
        <f t="shared" si="787"/>
        <v>4.100378503037147E-2</v>
      </c>
    </row>
    <row r="1312" spans="2:11" x14ac:dyDescent="0.35">
      <c r="B1312" s="5" t="str">
        <f t="shared" si="778"/>
        <v>SPS4</v>
      </c>
      <c r="C1312" s="5" t="str">
        <f t="shared" si="776"/>
        <v>CH</v>
      </c>
      <c r="D1312" t="s">
        <v>1229</v>
      </c>
      <c r="E1312" t="str">
        <f t="shared" si="777"/>
        <v>km/MJ</v>
      </c>
      <c r="F1312" s="1">
        <f>IFERROR(F1261/F1210,"-")</f>
        <v>0.68269058469276556</v>
      </c>
      <c r="G1312" s="1">
        <f t="shared" si="787"/>
        <v>0.33433653911526928</v>
      </c>
      <c r="H1312" s="1">
        <f t="shared" si="787"/>
        <v>0.27476975812868143</v>
      </c>
      <c r="I1312" s="1">
        <f t="shared" si="787"/>
        <v>6.5117331594189906E-2</v>
      </c>
      <c r="J1312" s="1">
        <f t="shared" si="787"/>
        <v>0.16515245780967425</v>
      </c>
      <c r="K1312" s="1">
        <f t="shared" si="787"/>
        <v>0.24448729445813547</v>
      </c>
    </row>
    <row r="1313" spans="2:16" x14ac:dyDescent="0.35">
      <c r="B1313" s="9" t="str">
        <f t="shared" si="778"/>
        <v>SPS4</v>
      </c>
      <c r="C1313" s="9" t="str">
        <f t="shared" ref="C1313" si="788">C1312</f>
        <v>CH</v>
      </c>
      <c r="D1313" s="2" t="s">
        <v>1305</v>
      </c>
      <c r="E1313" s="2" t="s">
        <v>8</v>
      </c>
      <c r="F1313" s="3">
        <f>F1314+F1320+F1325+F1339</f>
        <v>0.75988484597534944</v>
      </c>
      <c r="G1313" s="3">
        <f t="shared" ref="G1313:K1313" si="789">G1314+G1320+G1325+G1339</f>
        <v>1.3444967405123862</v>
      </c>
      <c r="H1313" s="3">
        <f t="shared" si="789"/>
        <v>2.1942418232457386</v>
      </c>
      <c r="I1313" s="3">
        <f t="shared" si="789"/>
        <v>1.7603057937008424</v>
      </c>
      <c r="J1313" s="3">
        <f t="shared" si="789"/>
        <v>1.8749240634266557</v>
      </c>
      <c r="K1313" s="3">
        <f t="shared" si="789"/>
        <v>1.9628416246516043</v>
      </c>
      <c r="M1313" s="3"/>
      <c r="N1313" s="3"/>
      <c r="O1313" s="3"/>
      <c r="P1313" s="3"/>
    </row>
    <row r="1314" spans="2:16" x14ac:dyDescent="0.35">
      <c r="B1314" s="5" t="str">
        <f t="shared" si="778"/>
        <v>SPS4</v>
      </c>
      <c r="C1314" s="5" t="str">
        <f>C1313</f>
        <v>CH</v>
      </c>
      <c r="D1314" t="s">
        <v>1307</v>
      </c>
      <c r="E1314" t="s">
        <v>8</v>
      </c>
      <c r="F1314" s="1">
        <f>SUM(F1315:F1319)</f>
        <v>5.2683524422977345E-3</v>
      </c>
      <c r="G1314" s="1">
        <f t="shared" ref="G1314:K1314" si="790">SUM(G1315:G1319)</f>
        <v>7.9532023703244407E-3</v>
      </c>
      <c r="H1314" s="1">
        <f t="shared" si="790"/>
        <v>1.0398975389677479E-2</v>
      </c>
      <c r="I1314" s="1">
        <f t="shared" si="790"/>
        <v>0.78908978702376731</v>
      </c>
      <c r="J1314" s="1">
        <f t="shared" si="790"/>
        <v>0.70126762697252087</v>
      </c>
      <c r="K1314" s="1">
        <f t="shared" si="790"/>
        <v>0.56527696653137094</v>
      </c>
    </row>
    <row r="1315" spans="2:16" x14ac:dyDescent="0.35">
      <c r="B1315" s="5" t="str">
        <f t="shared" si="778"/>
        <v>SPS4</v>
      </c>
      <c r="C1315" s="5" t="str">
        <f t="shared" ref="C1315:C1348" si="791">C1314</f>
        <v>CH</v>
      </c>
      <c r="D1315" t="s">
        <v>1308</v>
      </c>
      <c r="E1315" t="s">
        <v>8</v>
      </c>
      <c r="F1315" s="1" cm="1">
        <f t="array" ref="F1315">SUMPRODUCT(("T_B_u-BeVELCEXT"=[1]OUT_TransportEnergyCons!$A$3:$A$1000)*1,("Var_Fin"=[1]OUT_TransportEnergyCons!$B$3:$B$1000)*1,ISNUMBER(SEARCH("ELC",[1]OUT_TransportEnergyCons!$C$3:$C$1000))*1,[1]OUT_TransportEnergyCons!D$3:D$1000)</f>
        <v>4.7533110079614661E-4</v>
      </c>
      <c r="G1315" s="1" cm="1">
        <f t="array" ref="G1315">SUMPRODUCT(("T_B_u-BeVELCEXT"=[1]OUT_TransportEnergyCons!$A$3:$A$1000)*1,("Var_Fin"=[1]OUT_TransportEnergyCons!$B$3:$B$1000)*1,ISNUMBER(SEARCH("ELC",[1]OUT_TransportEnergyCons!$C$3:$C$1000))*1,[1]OUT_TransportEnergyCons!E$3:E$1000)</f>
        <v>4.7753165690107814E-4</v>
      </c>
      <c r="H1315" s="1" cm="1">
        <f t="array" ref="H1315">SUMPRODUCT(("T_B_u-BeVELCEXT"=[1]OUT_TransportEnergyCons!$A$3:$A$1000)*1,("Var_Fin"=[1]OUT_TransportEnergyCons!$B$3:$B$1000)*1,ISNUMBER(SEARCH("ELC",[1]OUT_TransportEnergyCons!$C$3:$C$1000))*1,[1]OUT_TransportEnergyCons!F$3:F$1000)</f>
        <v>4.6783802908497823E-4</v>
      </c>
      <c r="I1315" s="1" cm="1">
        <f t="array" ref="I1315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5" s="1" cm="1">
        <f t="array" ref="J1315">SUMPRODUCT(("T_B_u-BeVELCEXT"=[1]OUT_TransportEnergyCons!$A$3:$A$1000)*1,("Var_Fin"=[1]OUT_TransportEnergyCons!$B$3:$B$1000)*1,ISNUMBER(SEARCH("ELC",[1]OUT_TransportEnergyCons!$C$3:$C$1000))*1,[1]OUT_TransportEnergyCons!H$3:H$1000)</f>
        <v>0</v>
      </c>
      <c r="K1315" s="1" cm="1">
        <f t="array" ref="K1315">SUMPRODUCT(("T_B_u-BeVELCEXT"=[1]OUT_TransportEnergyCons!$A$3:$A$1000)*1,("Var_Fin"=[1]OUT_TransportEnergyCons!$B$3:$B$1000)*1,ISNUMBER(SEARCH("ELC",[1]OUT_TransportEnergyCons!$C$3:$C$1000))*1,[1]OUT_TransportEnergyCons!I$3:I$1000)</f>
        <v>0</v>
      </c>
    </row>
    <row r="1316" spans="2:16" x14ac:dyDescent="0.35">
      <c r="B1316" s="5" t="str">
        <f t="shared" si="778"/>
        <v>SPS4</v>
      </c>
      <c r="C1316" s="5" t="str">
        <f t="shared" si="791"/>
        <v>CH</v>
      </c>
      <c r="D1316" t="s">
        <v>1309</v>
      </c>
      <c r="E1316" t="s">
        <v>8</v>
      </c>
      <c r="F1316" s="1" cm="1">
        <f t="array" ref="F1316">SUMPRODUCT(("T_B_u-BEVELC-S1"=[1]OUT_TransportEnergyCons!$A$3:$A$1000)*1,("Var_Fin"=[1]OUT_TransportEnergyCons!$B$3:$B$1000)*1,ISNUMBER(SEARCH("ELC",[1]OUT_TransportEnergyCons!$C$3:$C$1000))*1,[1]OUT_TransportEnergyCons!D$3:D$1000)</f>
        <v>3.5108937727208341E-7</v>
      </c>
      <c r="G1316" s="1" cm="1">
        <f t="array" ref="G1316">SUMPRODUCT(("T_B_u-BEVELC-S1"=[1]OUT_TransportEnergyCons!$A$3:$A$1000)*1,("Var_Fin"=[1]OUT_TransportEnergyCons!$B$3:$B$1000)*1,ISNUMBER(SEARCH("ELC",[1]OUT_TransportEnergyCons!$C$3:$C$1000))*1,[1]OUT_TransportEnergyCons!E$3:E$1000)</f>
        <v>7.1132973817852906E-4</v>
      </c>
      <c r="H1316" s="1" cm="1">
        <f t="array" ref="H1316">SUMPRODUCT(("T_B_u-BEVELC-S1"=[1]OUT_TransportEnergyCons!$A$3:$A$1000)*1,("Var_Fin"=[1]OUT_TransportEnergyCons!$B$3:$B$1000)*1,ISNUMBER(SEARCH("ELC",[1]OUT_TransportEnergyCons!$C$3:$C$1000))*1,[1]OUT_TransportEnergyCons!F$3:F$1000)</f>
        <v>1.6190749302164211E-3</v>
      </c>
      <c r="I1316" s="1" cm="1">
        <f t="array" ref="I1316">SUMPRODUCT(("T_B_u-BEVELC-S1"=[1]OUT_TransportEnergyCons!$A$3:$A$1000)*1,("Var_Fin"=[1]OUT_TransportEnergyCons!$B$3:$B$1000)*1,ISNUMBER(SEARCH("ELC",[1]OUT_TransportEnergyCons!$C$3:$C$1000))*1,[1]OUT_TransportEnergyCons!G$3:G$1000)</f>
        <v>0.24545849382374521</v>
      </c>
      <c r="J1316" s="1" cm="1">
        <f t="array" ref="J1316">SUMPRODUCT(("T_B_u-BEVELC-S1"=[1]OUT_TransportEnergyCons!$A$3:$A$1000)*1,("Var_Fin"=[1]OUT_TransportEnergyCons!$B$3:$B$1000)*1,ISNUMBER(SEARCH("ELC",[1]OUT_TransportEnergyCons!$C$3:$C$1000))*1,[1]OUT_TransportEnergyCons!H$3:H$1000)</f>
        <v>0.25268286996472239</v>
      </c>
      <c r="K1316" s="1" cm="1">
        <f t="array" ref="K1316">SUMPRODUCT(("T_B_u-BEVELC-S1"=[1]OUT_TransportEnergyCons!$A$3:$A$1000)*1,("Var_Fin"=[1]OUT_TransportEnergyCons!$B$3:$B$1000)*1,ISNUMBER(SEARCH("ELC",[1]OUT_TransportEnergyCons!$C$3:$C$1000))*1,[1]OUT_TransportEnergyCons!I$3:I$1000)</f>
        <v>0.24077905693731158</v>
      </c>
    </row>
    <row r="1317" spans="2:16" x14ac:dyDescent="0.35">
      <c r="B1317" s="5" t="str">
        <f t="shared" si="778"/>
        <v>SPS4</v>
      </c>
      <c r="C1317" s="5" t="str">
        <f t="shared" si="791"/>
        <v>CH</v>
      </c>
      <c r="D1317" t="s">
        <v>1310</v>
      </c>
      <c r="E1317" t="s">
        <v>8</v>
      </c>
      <c r="F1317" s="1" cm="1">
        <f t="array" ref="F1317">SUMPRODUCT(("T_B_u-BEVELC-S2"=[1]OUT_TransportEnergyCons!$A$3:$A$1000)*1,("Var_Fin"=[1]OUT_TransportEnergyCons!$B$3:$B$1000)*1,ISNUMBER(SEARCH("ELC",[1]OUT_TransportEnergyCons!$C$3:$C$1000))*1,[1]OUT_TransportEnergyCons!D$3:D$1000)</f>
        <v>1.0016394151666072E-3</v>
      </c>
      <c r="G1317" s="1" cm="1">
        <f t="array" ref="G1317">SUMPRODUCT(("T_B_u-BEVELC-S2"=[1]OUT_TransportEnergyCons!$A$3:$A$1000)*1,("Var_Fin"=[1]OUT_TransportEnergyCons!$B$3:$B$1000)*1,ISNUMBER(SEARCH("ELC",[1]OUT_TransportEnergyCons!$C$3:$C$1000))*1,[1]OUT_TransportEnergyCons!E$3:E$1000)</f>
        <v>1.6967319167864622E-3</v>
      </c>
      <c r="H1317" s="1" cm="1">
        <f t="array" ref="H1317">SUMPRODUCT(("T_B_u-BEVELC-S2"=[1]OUT_TransportEnergyCons!$A$3:$A$1000)*1,("Var_Fin"=[1]OUT_TransportEnergyCons!$B$3:$B$1000)*1,ISNUMBER(SEARCH("ELC",[1]OUT_TransportEnergyCons!$C$3:$C$1000))*1,[1]OUT_TransportEnergyCons!F$3:F$1000)</f>
        <v>2.6502267752301339E-3</v>
      </c>
      <c r="I1317" s="1" cm="1">
        <f t="array" ref="I1317">SUMPRODUCT(("T_B_u-BEVELC-S2"=[1]OUT_TransportEnergyCons!$A$3:$A$1000)*1,("Var_Fin"=[1]OUT_TransportEnergyCons!$B$3:$B$1000)*1,ISNUMBER(SEARCH("ELC",[1]OUT_TransportEnergyCons!$C$3:$C$1000))*1,[1]OUT_TransportEnergyCons!G$3:G$1000)</f>
        <v>0.12220929423290988</v>
      </c>
      <c r="J1317" s="1" cm="1">
        <f t="array" ref="J1317">SUMPRODUCT(("T_B_u-BEVELC-S2"=[1]OUT_TransportEnergyCons!$A$3:$A$1000)*1,("Var_Fin"=[1]OUT_TransportEnergyCons!$B$3:$B$1000)*1,ISNUMBER(SEARCH("ELC",[1]OUT_TransportEnergyCons!$C$3:$C$1000))*1,[1]OUT_TransportEnergyCons!H$3:H$1000)</f>
        <v>0.12529314014831866</v>
      </c>
      <c r="K1317" s="1" cm="1">
        <f t="array" ref="K1317">SUMPRODUCT(("T_B_u-BEVELC-S2"=[1]OUT_TransportEnergyCons!$A$3:$A$1000)*1,("Var_Fin"=[1]OUT_TransportEnergyCons!$B$3:$B$1000)*1,ISNUMBER(SEARCH("ELC",[1]OUT_TransportEnergyCons!$C$3:$C$1000))*1,[1]OUT_TransportEnergyCons!I$3:I$1000)</f>
        <v>0.12057657823156569</v>
      </c>
    </row>
    <row r="1318" spans="2:16" x14ac:dyDescent="0.35">
      <c r="B1318" s="5" t="str">
        <f t="shared" si="778"/>
        <v>SPS4</v>
      </c>
      <c r="C1318" s="5" t="str">
        <f t="shared" si="791"/>
        <v>CH</v>
      </c>
      <c r="D1318" t="s">
        <v>1311</v>
      </c>
      <c r="E1318" t="s">
        <v>8</v>
      </c>
      <c r="F1318" s="1" cm="1">
        <f t="array" ref="F1318">SUMPRODUCT(("T_B_u-BEVELC-S3"=[1]OUT_TransportEnergyCons!$A$3:$A$1000)*1,("Var_Fin"=[1]OUT_TransportEnergyCons!$B$3:$B$1000)*1,ISNUMBER(SEARCH("ELC",[1]OUT_TransportEnergyCons!$C$3:$C$1000))*1,[1]OUT_TransportEnergyCons!D$3:D$1000)</f>
        <v>3.519538190659604E-3</v>
      </c>
      <c r="G1318" s="1" cm="1">
        <f t="array" ref="G1318">SUMPRODUCT(("T_B_u-BEVELC-S3"=[1]OUT_TransportEnergyCons!$A$3:$A$1000)*1,("Var_Fin"=[1]OUT_TransportEnergyCons!$B$3:$B$1000)*1,ISNUMBER(SEARCH("ELC",[1]OUT_TransportEnergyCons!$C$3:$C$1000))*1,[1]OUT_TransportEnergyCons!E$3:E$1000)</f>
        <v>4.8185180442861008E-3</v>
      </c>
      <c r="H1318" s="1" cm="1">
        <f t="array" ref="H1318">SUMPRODUCT(("T_B_u-BEVELC-S3"=[1]OUT_TransportEnergyCons!$A$3:$A$1000)*1,("Var_Fin"=[1]OUT_TransportEnergyCons!$B$3:$B$1000)*1,ISNUMBER(SEARCH("ELC",[1]OUT_TransportEnergyCons!$C$3:$C$1000))*1,[1]OUT_TransportEnergyCons!F$3:F$1000)</f>
        <v>5.3153619556817059E-3</v>
      </c>
      <c r="I1318" s="1" cm="1">
        <f t="array" ref="I1318">SUMPRODUCT(("T_B_u-BEVELC-S3"=[1]OUT_TransportEnergyCons!$A$3:$A$1000)*1,("Var_Fin"=[1]OUT_TransportEnergyCons!$B$3:$B$1000)*1,ISNUMBER(SEARCH("ELC",[1]OUT_TransportEnergyCons!$C$3:$C$1000))*1,[1]OUT_TransportEnergyCons!G$3:G$1000)</f>
        <v>0.42131548164365562</v>
      </c>
      <c r="J1318" s="1" cm="1">
        <f t="array" ref="J1318">SUMPRODUCT(("T_B_u-BEVELC-S3"=[1]OUT_TransportEnergyCons!$A$3:$A$1000)*1,("Var_Fin"=[1]OUT_TransportEnergyCons!$B$3:$B$1000)*1,ISNUMBER(SEARCH("ELC",[1]OUT_TransportEnergyCons!$C$3:$C$1000))*1,[1]OUT_TransportEnergyCons!H$3:H$1000)</f>
        <v>0.32317168336367058</v>
      </c>
      <c r="K1318" s="1" cm="1">
        <f t="array" ref="K1318">SUMPRODUCT(("T_B_u-BEVELC-S3"=[1]OUT_TransportEnergyCons!$A$3:$A$1000)*1,("Var_Fin"=[1]OUT_TransportEnergyCons!$B$3:$B$1000)*1,ISNUMBER(SEARCH("ELC",[1]OUT_TransportEnergyCons!$C$3:$C$1000))*1,[1]OUT_TransportEnergyCons!I$3:I$1000)</f>
        <v>0.20386578297778882</v>
      </c>
    </row>
    <row r="1319" spans="2:16" x14ac:dyDescent="0.35">
      <c r="B1319" s="5" t="str">
        <f t="shared" si="778"/>
        <v>SPS4</v>
      </c>
      <c r="C1319" s="5" t="str">
        <f t="shared" si="791"/>
        <v>CH</v>
      </c>
      <c r="D1319" t="s">
        <v>1312</v>
      </c>
      <c r="E1319" t="s">
        <v>8</v>
      </c>
      <c r="F1319" s="1" cm="1">
        <f t="array" ref="F1319">SUMPRODUCT(("T_B_u-BEVELC-S4"=[1]OUT_TransportEnergyCons!$A$3:$A$1000)*1,("Var_Fin"=[1]OUT_TransportEnergyCons!$B$3:$B$1000)*1,ISNUMBER(SEARCH("ELC",[1]OUT_TransportEnergyCons!$C$3:$C$1000))*1,[1]OUT_TransportEnergyCons!D$3:D$1000)</f>
        <v>2.7149264629810436E-4</v>
      </c>
      <c r="G1319" s="1" cm="1">
        <f t="array" ref="G1319">SUMPRODUCT(("T_B_u-BEVELC-S4"=[1]OUT_TransportEnergyCons!$A$3:$A$1000)*1,("Var_Fin"=[1]OUT_TransportEnergyCons!$B$3:$B$1000)*1,ISNUMBER(SEARCH("ELC",[1]OUT_TransportEnergyCons!$C$3:$C$1000))*1,[1]OUT_TransportEnergyCons!E$3:E$1000)</f>
        <v>2.4909101417227024E-4</v>
      </c>
      <c r="H1319" s="1" cm="1">
        <f t="array" ref="H1319">SUMPRODUCT(("T_B_u-BEVELC-S4"=[1]OUT_TransportEnergyCons!$A$3:$A$1000)*1,("Var_Fin"=[1]OUT_TransportEnergyCons!$B$3:$B$1000)*1,ISNUMBER(SEARCH("ELC",[1]OUT_TransportEnergyCons!$C$3:$C$1000))*1,[1]OUT_TransportEnergyCons!F$3:F$1000)</f>
        <v>3.4647369946423916E-4</v>
      </c>
      <c r="I1319" s="1" cm="1">
        <f t="array" ref="I1319">SUMPRODUCT(("T_B_u-BEVELC-S4"=[1]OUT_TransportEnergyCons!$A$3:$A$1000)*1,("Var_Fin"=[1]OUT_TransportEnergyCons!$B$3:$B$1000)*1,ISNUMBER(SEARCH("ELC",[1]OUT_TransportEnergyCons!$C$3:$C$1000))*1,[1]OUT_TransportEnergyCons!G$3:G$1000)</f>
        <v>1.065173234565135E-4</v>
      </c>
      <c r="J1319" s="1" cm="1">
        <f t="array" ref="J1319">SUMPRODUCT(("T_B_u-BEVELC-S4"=[1]OUT_TransportEnergyCons!$A$3:$A$1000)*1,("Var_Fin"=[1]OUT_TransportEnergyCons!$B$3:$B$1000)*1,ISNUMBER(SEARCH("ELC",[1]OUT_TransportEnergyCons!$C$3:$C$1000))*1,[1]OUT_TransportEnergyCons!H$3:H$1000)</f>
        <v>1.1993349580926397E-4</v>
      </c>
      <c r="K1319" s="1" cm="1">
        <f t="array" ref="K1319">SUMPRODUCT(("T_B_u-BEVELC-S4"=[1]OUT_TransportEnergyCons!$A$3:$A$1000)*1,("Var_Fin"=[1]OUT_TransportEnergyCons!$B$3:$B$1000)*1,ISNUMBER(SEARCH("ELC",[1]OUT_TransportEnergyCons!$C$3:$C$1000))*1,[1]OUT_TransportEnergyCons!I$3:I$1000)</f>
        <v>5.55483847049334E-5</v>
      </c>
    </row>
    <row r="1320" spans="2:16" x14ac:dyDescent="0.35">
      <c r="B1320" s="5" t="str">
        <f t="shared" si="778"/>
        <v>SPS4</v>
      </c>
      <c r="C1320" s="5" t="str">
        <f t="shared" si="791"/>
        <v>CH</v>
      </c>
      <c r="D1320" t="s">
        <v>1313</v>
      </c>
      <c r="E1320" t="s">
        <v>8</v>
      </c>
      <c r="F1320" s="1">
        <f>SUM(F1321:F1324)</f>
        <v>0</v>
      </c>
      <c r="G1320" s="1">
        <f t="shared" ref="G1320:K1320" si="792">SUM(G1321:G1324)</f>
        <v>0</v>
      </c>
      <c r="H1320" s="1">
        <f t="shared" si="792"/>
        <v>0</v>
      </c>
      <c r="I1320" s="1">
        <f t="shared" si="792"/>
        <v>2.0898221072840829E-5</v>
      </c>
      <c r="J1320" s="1">
        <f t="shared" si="792"/>
        <v>0</v>
      </c>
      <c r="K1320" s="1">
        <f t="shared" si="792"/>
        <v>3.1606569787389402E-6</v>
      </c>
    </row>
    <row r="1321" spans="2:16" x14ac:dyDescent="0.35">
      <c r="B1321" s="5" t="str">
        <f t="shared" si="778"/>
        <v>SPS4</v>
      </c>
      <c r="C1321" s="5" t="str">
        <f t="shared" si="791"/>
        <v>CH</v>
      </c>
      <c r="D1321" t="s">
        <v>1314</v>
      </c>
      <c r="E1321" t="s">
        <v>8</v>
      </c>
      <c r="F1321" s="1" cm="1">
        <f t="array" ref="F1321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1" s="1" cm="1">
        <f t="array" ref="G1321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1" s="1" cm="1">
        <f t="array" ref="H1321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1" s="1" cm="1">
        <f t="array" ref="I1321">SUMPRODUCT(("T_B_u-FCLH2O-S1"=[1]OUT_TransportEnergyCons!$A$3:$A$1000)*1,("Var_Fin"=[1]OUT_TransportEnergyCons!$B$3:$B$1000)*1,ISNUMBER(SEARCH("H2",[1]OUT_TransportEnergyCons!$C$3:$C$1000))*1,[1]OUT_TransportEnergyCons!G$3:G$1000)</f>
        <v>6.9903671142239826E-6</v>
      </c>
      <c r="J1321" s="1" cm="1">
        <f t="array" ref="J1321">SUMPRODUCT(("T_B_u-FCLH2O-S1"=[1]OUT_TransportEnergyCons!$A$3:$A$1000)*1,("Var_Fin"=[1]OUT_TransportEnergyCons!$B$3:$B$1000)*1,ISNUMBER(SEARCH("H2",[1]OUT_TransportEnergyCons!$C$3:$C$1000))*1,[1]OUT_TransportEnergyCons!H$3:H$1000)</f>
        <v>0</v>
      </c>
      <c r="K1321" s="1" cm="1">
        <f t="array" ref="K1321">SUMPRODUCT(("T_B_u-FCLH2O-S1"=[1]OUT_TransportEnergyCons!$A$3:$A$1000)*1,("Var_Fin"=[1]OUT_TransportEnergyCons!$B$3:$B$1000)*1,ISNUMBER(SEARCH("H2",[1]OUT_TransportEnergyCons!$C$3:$C$1000))*1,[1]OUT_TransportEnergyCons!I$3:I$1000)</f>
        <v>0</v>
      </c>
    </row>
    <row r="1322" spans="2:16" x14ac:dyDescent="0.35">
      <c r="B1322" s="5" t="str">
        <f t="shared" si="778"/>
        <v>SPS4</v>
      </c>
      <c r="C1322" s="5" t="str">
        <f t="shared" si="791"/>
        <v>CH</v>
      </c>
      <c r="D1322" t="s">
        <v>1315</v>
      </c>
      <c r="E1322" t="s">
        <v>8</v>
      </c>
      <c r="F1322" s="1" cm="1">
        <f t="array" ref="F1322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2" s="1" cm="1">
        <f t="array" ref="G1322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2" s="1" cm="1">
        <f t="array" ref="H1322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2" s="1" cm="1">
        <f t="array" ref="I1322">SUMPRODUCT(("T_B_u-FCLH2O-S2"=[1]OUT_TransportEnergyCons!$A$3:$A$1000)*1,("Var_Fin"=[1]OUT_TransportEnergyCons!$B$3:$B$1000)*1,ISNUMBER(SEARCH("H2",[1]OUT_TransportEnergyCons!$C$3:$C$1000))*1,[1]OUT_TransportEnergyCons!G$3:G$1000)</f>
        <v>2.6061842677999264E-6</v>
      </c>
      <c r="J1322" s="1" cm="1">
        <f t="array" ref="J1322">SUMPRODUCT(("T_B_u-FCLH2O-S2"=[1]OUT_TransportEnergyCons!$A$3:$A$1000)*1,("Var_Fin"=[1]OUT_TransportEnergyCons!$B$3:$B$1000)*1,ISNUMBER(SEARCH("H2",[1]OUT_TransportEnergyCons!$C$3:$C$1000))*1,[1]OUT_TransportEnergyCons!H$3:H$1000)</f>
        <v>0</v>
      </c>
      <c r="K1322" s="1" cm="1">
        <f t="array" ref="K1322">SUMPRODUCT(("T_B_u-FCLH2O-S2"=[1]OUT_TransportEnergyCons!$A$3:$A$1000)*1,("Var_Fin"=[1]OUT_TransportEnergyCons!$B$3:$B$1000)*1,ISNUMBER(SEARCH("H2",[1]OUT_TransportEnergyCons!$C$3:$C$1000))*1,[1]OUT_TransportEnergyCons!I$3:I$1000)</f>
        <v>0</v>
      </c>
    </row>
    <row r="1323" spans="2:16" x14ac:dyDescent="0.35">
      <c r="B1323" s="5" t="str">
        <f t="shared" si="778"/>
        <v>SPS4</v>
      </c>
      <c r="C1323" s="5" t="str">
        <f t="shared" si="791"/>
        <v>CH</v>
      </c>
      <c r="D1323" t="s">
        <v>1316</v>
      </c>
      <c r="E1323" t="s">
        <v>8</v>
      </c>
      <c r="F1323" s="1" cm="1">
        <f t="array" ref="F1323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SUMPRODUCT(("T_B_u-FCLH2O-S3"=[1]OUT_TransportEnergyCons!$A$3:$A$1000)*1,("Var_Fin"=[1]OUT_TransportEnergyCons!$B$3:$B$1000)*1,ISNUMBER(SEARCH("H2",[1]OUT_TransportEnergyCons!$C$3:$C$1000))*1,[1]OUT_TransportEnergyCons!G$3:G$1000)</f>
        <v>1.1301669690816921E-5</v>
      </c>
      <c r="J1323" s="1" cm="1">
        <f t="array" ref="J1323">SUMPRODUCT(("T_B_u-FCLH2O-S3"=[1]OUT_TransportEnergyCons!$A$3:$A$1000)*1,("Var_Fin"=[1]OUT_TransportEnergyCons!$B$3:$B$1000)*1,ISNUMBER(SEARCH("H2",[1]OUT_TransportEnergyCons!$C$3:$C$1000))*1,[1]OUT_TransportEnergyCons!H$3:H$1000)</f>
        <v>0</v>
      </c>
      <c r="K1323" s="1" cm="1">
        <f t="array" ref="K1323">SUMPRODUCT(("T_B_u-FCLH2O-S3"=[1]OUT_TransportEnergyCons!$A$3:$A$1000)*1,("Var_Fin"=[1]OUT_TransportEnergyCons!$B$3:$B$1000)*1,ISNUMBER(SEARCH("H2",[1]OUT_TransportEnergyCons!$C$3:$C$1000))*1,[1]OUT_TransportEnergyCons!I$3:I$1000)</f>
        <v>3.1606569787389402E-6</v>
      </c>
    </row>
    <row r="1324" spans="2:16" x14ac:dyDescent="0.35">
      <c r="B1324" s="5" t="str">
        <f t="shared" si="778"/>
        <v>SPS4</v>
      </c>
      <c r="C1324" s="5" t="str">
        <f t="shared" si="791"/>
        <v>CH</v>
      </c>
      <c r="D1324" t="s">
        <v>1317</v>
      </c>
      <c r="E1324" t="s">
        <v>8</v>
      </c>
      <c r="F1324" s="1" cm="1">
        <f t="array" ref="F1324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4" s="1" cm="1">
        <f t="array" ref="J1324">SUMPRODUCT(("T_B_u-FCLH2O-S4"=[1]OUT_TransportEnergyCons!$A$3:$A$1000)*1,("Var_Fin"=[1]OUT_TransportEnergyCons!$B$3:$B$1000)*1,ISNUMBER(SEARCH("H2",[1]OUT_TransportEnergyCons!$C$3:$C$1000))*1,[1]OUT_TransportEnergyCons!H$3:H$1000)</f>
        <v>0</v>
      </c>
      <c r="K1324" s="1" cm="1">
        <f t="array" ref="K1324">SUMPRODUCT(("T_B_u-FCLH2O-S4"=[1]OUT_TransportEnergyCons!$A$3:$A$1000)*1,("Var_Fin"=[1]OUT_TransportEnergyCons!$B$3:$B$1000)*1,ISNUMBER(SEARCH("H2",[1]OUT_TransportEnergyCons!$C$3:$C$1000))*1,[1]OUT_TransportEnergyCons!I$3:I$1000)</f>
        <v>0</v>
      </c>
    </row>
    <row r="1325" spans="2:16" x14ac:dyDescent="0.35">
      <c r="B1325" s="5" t="str">
        <f t="shared" si="778"/>
        <v>SPS4</v>
      </c>
      <c r="C1325" s="5" t="str">
        <f t="shared" si="791"/>
        <v>CH</v>
      </c>
      <c r="D1325" t="s">
        <v>1318</v>
      </c>
      <c r="E1325" t="s">
        <v>8</v>
      </c>
      <c r="F1325" s="1">
        <f>SUM(F1330:F1338)</f>
        <v>0.75430052714343554</v>
      </c>
      <c r="G1325" s="1">
        <f t="shared" ref="G1325:K1325" si="793">SUM(G1330:G1338)</f>
        <v>1.3359161556555756</v>
      </c>
      <c r="H1325" s="1">
        <f t="shared" si="793"/>
        <v>2.1648698738922025</v>
      </c>
      <c r="I1325" s="1">
        <f t="shared" si="793"/>
        <v>0.97119309045339053</v>
      </c>
      <c r="J1325" s="1">
        <f t="shared" si="793"/>
        <v>1.1736551236984485</v>
      </c>
      <c r="K1325" s="1">
        <f t="shared" si="793"/>
        <v>1.3975605704531406</v>
      </c>
    </row>
    <row r="1326" spans="2:16" x14ac:dyDescent="0.35">
      <c r="B1326" s="5" t="str">
        <f t="shared" si="778"/>
        <v>SPS4</v>
      </c>
      <c r="C1326" s="5" t="str">
        <f t="shared" si="791"/>
        <v>CH</v>
      </c>
      <c r="D1326" t="s">
        <v>1319</v>
      </c>
      <c r="E1326" t="s">
        <v>8</v>
      </c>
      <c r="F1326" s="1">
        <f>F1325-F1327</f>
        <v>0.73555657713533074</v>
      </c>
      <c r="G1326" s="1">
        <f t="shared" ref="G1326:K1326" si="794">G1325-G1327</f>
        <v>1.3011012039368377</v>
      </c>
      <c r="H1326" s="1">
        <f t="shared" si="794"/>
        <v>2.0677305277258506</v>
      </c>
      <c r="I1326" s="1">
        <f t="shared" si="794"/>
        <v>0.92790211554529034</v>
      </c>
      <c r="J1326" s="1">
        <f t="shared" si="794"/>
        <v>1.1087343718809486</v>
      </c>
      <c r="K1326" s="1">
        <f t="shared" si="794"/>
        <v>1.3401983845220196</v>
      </c>
    </row>
    <row r="1327" spans="2:16" x14ac:dyDescent="0.35">
      <c r="B1327" s="5" t="str">
        <f t="shared" si="778"/>
        <v>SPS4</v>
      </c>
      <c r="C1327" s="5" t="str">
        <f t="shared" si="791"/>
        <v>CH</v>
      </c>
      <c r="D1327" t="s">
        <v>1320</v>
      </c>
      <c r="E1327" t="s">
        <v>8</v>
      </c>
      <c r="F1327" s="1">
        <f>SUM(F1328:F1329)</f>
        <v>1.8743950008104786E-2</v>
      </c>
      <c r="G1327" s="1">
        <f t="shared" ref="G1327" si="795">SUM(G1328:G1329)</f>
        <v>3.4814951718737927E-2</v>
      </c>
      <c r="H1327" s="1">
        <f t="shared" ref="H1327" si="796">SUM(H1328:H1329)</f>
        <v>9.7139346166351767E-2</v>
      </c>
      <c r="I1327" s="1">
        <f t="shared" ref="I1327" si="797">SUM(I1328:I1329)</f>
        <v>4.329097490810016E-2</v>
      </c>
      <c r="J1327" s="1">
        <f t="shared" ref="J1327" si="798">SUM(J1328:J1329)</f>
        <v>6.4920751817499872E-2</v>
      </c>
      <c r="K1327" s="1">
        <f t="shared" ref="K1327" si="799">SUM(K1328:K1329)</f>
        <v>5.7362185931121024E-2</v>
      </c>
    </row>
    <row r="1328" spans="2:16" x14ac:dyDescent="0.35">
      <c r="B1328" s="5" t="str">
        <f t="shared" si="778"/>
        <v>SPS4</v>
      </c>
      <c r="C1328" s="5" t="str">
        <f t="shared" si="791"/>
        <v>CH</v>
      </c>
      <c r="D1328" t="s">
        <v>1322</v>
      </c>
      <c r="E1328" t="s">
        <v>8</v>
      </c>
      <c r="F1328" s="1">
        <f>[1]Transport!B$26/SUM([1]Transport!B$22,[1]Transport!B$26)*F1325*(F$33+F$580)/(F$33+F$580+F$36)</f>
        <v>1.8743950008104786E-2</v>
      </c>
      <c r="G1328" s="1">
        <f>[1]Transport!C$26/SUM([1]Transport!C$22,[1]Transport!C$26)*G1325*(G$33+G$580)/(G$33+G$580+G$36)</f>
        <v>3.4814951718737927E-2</v>
      </c>
      <c r="H1328" s="1">
        <f>[1]Transport!D$26/SUM([1]Transport!D$22,[1]Transport!D$26)*H1325*(H$33+H$580)/(H$33+H$580+H$36)</f>
        <v>9.7139346166351767E-2</v>
      </c>
      <c r="I1328" s="1">
        <f>[1]Transport!E$26/SUM([1]Transport!E$22,[1]Transport!E$26)*I1325*(I$33+I$580)/(I$33+I$580+I$36)</f>
        <v>4.329097490810016E-2</v>
      </c>
      <c r="J1328" s="1">
        <f>[1]Transport!F$26/SUM([1]Transport!F$22,[1]Transport!F$26)*J1325*(J$33+J$580)/(J$33+J$580+J$36)</f>
        <v>4.1669540656918184E-2</v>
      </c>
      <c r="K1328" s="1">
        <f>[1]Transport!G$26/SUM([1]Transport!G$22,[1]Transport!G$26)*K1325*(K$33+K$580)/(K$33+K$580+K$36)</f>
        <v>5.7362185931121024E-2</v>
      </c>
    </row>
    <row r="1329" spans="2:11" x14ac:dyDescent="0.35">
      <c r="B1329" s="5" t="str">
        <f t="shared" si="778"/>
        <v>SPS4</v>
      </c>
      <c r="C1329" s="5" t="str">
        <f t="shared" si="791"/>
        <v>CH</v>
      </c>
      <c r="D1329" t="s">
        <v>1321</v>
      </c>
      <c r="E1329" t="s">
        <v>8</v>
      </c>
      <c r="F1329" s="1">
        <f>(F$36+F$716)/([1]Transport!B$22+[1]Transport!B$26)*F1325</f>
        <v>0</v>
      </c>
      <c r="G1329" s="1">
        <f>(G$36+G$716)/([1]Transport!C$22+[1]Transport!C$26)*G1325</f>
        <v>0</v>
      </c>
      <c r="H1329" s="1">
        <f>(H$36+H$716)/([1]Transport!D$22+[1]Transport!D$26)*H1325</f>
        <v>0</v>
      </c>
      <c r="I1329" s="1">
        <f>(I$36+I$716)/([1]Transport!E$22+[1]Transport!E$26)*I1325</f>
        <v>0</v>
      </c>
      <c r="J1329" s="1">
        <f>(J$36+J$716)/([1]Transport!F$22+[1]Transport!F$26)*J1325</f>
        <v>2.3251211160581684E-2</v>
      </c>
      <c r="K1329" s="1">
        <f>(K$36+K$716)/([1]Transport!G$22+[1]Transport!G$26)*K1325</f>
        <v>0</v>
      </c>
    </row>
    <row r="1330" spans="2:11" x14ac:dyDescent="0.35">
      <c r="B1330" s="5" t="str">
        <f t="shared" si="778"/>
        <v>SPS4</v>
      </c>
      <c r="C1330" s="5" t="str">
        <f t="shared" si="791"/>
        <v>CH</v>
      </c>
      <c r="D1330" t="s">
        <v>1323</v>
      </c>
      <c r="E1330" t="s">
        <v>8</v>
      </c>
      <c r="F1330" s="1" cm="1">
        <f t="array" ref="F1330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0" s="1" cm="1">
        <f t="array" ref="G1330">SUMPRODUCT(("T_B_u-HYBDSL-S1"=[1]OUT_TransportEnergyCons!$A$3:$A$1000)*1,("Var_Fin"=[1]OUT_TransportEnergyCons!$B$3:$B$1000)*1,ISNUMBER(SEARCH("DSL",[1]OUT_TransportEnergyCons!$C$3:$C$1000))*1,[1]OUT_TransportEnergyCons!E$3:E$1000)</f>
        <v>4.2159877218838739E-3</v>
      </c>
      <c r="H1330" s="1" cm="1">
        <f t="array" ref="H1330">SUMPRODUCT(("T_B_u-HYBDSL-S1"=[1]OUT_TransportEnergyCons!$A$3:$A$1000)*1,("Var_Fin"=[1]OUT_TransportEnergyCons!$B$3:$B$1000)*1,ISNUMBER(SEARCH("DSL",[1]OUT_TransportEnergyCons!$C$3:$C$1000))*1,[1]OUT_TransportEnergyCons!F$3:F$1000)</f>
        <v>4.6192817870138337E-3</v>
      </c>
      <c r="I1330" s="1" cm="1">
        <f t="array" ref="I1330">SUMPRODUCT(("T_B_u-HYBDSL-S1"=[1]OUT_TransportEnergyCons!$A$3:$A$1000)*1,("Var_Fin"=[1]OUT_TransportEnergyCons!$B$3:$B$1000)*1,ISNUMBER(SEARCH("DSL",[1]OUT_TransportEnergyCons!$C$3:$C$1000))*1,[1]OUT_TransportEnergyCons!G$3:G$1000)</f>
        <v>2.8461129427470984E-4</v>
      </c>
      <c r="J1330" s="1" cm="1">
        <f t="array" ref="J1330">SUMPRODUCT(("T_B_u-HYBDSL-S1"=[1]OUT_TransportEnergyCons!$A$3:$A$1000)*1,("Var_Fin"=[1]OUT_TransportEnergyCons!$B$3:$B$1000)*1,ISNUMBER(SEARCH("DSL",[1]OUT_TransportEnergyCons!$C$3:$C$1000))*1,[1]OUT_TransportEnergyCons!H$3:H$1000)</f>
        <v>7.8932117210454508E-4</v>
      </c>
      <c r="K1330" s="1" cm="1">
        <f t="array" ref="K1330">SUMPRODUCT(("T_B_u-HYBDSL-S1"=[1]OUT_TransportEnergyCons!$A$3:$A$1000)*1,("Var_Fin"=[1]OUT_TransportEnergyCons!$B$3:$B$1000)*1,ISNUMBER(SEARCH("DSL",[1]OUT_TransportEnergyCons!$C$3:$C$1000))*1,[1]OUT_TransportEnergyCons!I$3:I$1000)</f>
        <v>5.688774290010804E-4</v>
      </c>
    </row>
    <row r="1331" spans="2:11" x14ac:dyDescent="0.35">
      <c r="B1331" s="5" t="str">
        <f t="shared" si="778"/>
        <v>SPS4</v>
      </c>
      <c r="C1331" s="5" t="str">
        <f t="shared" si="791"/>
        <v>CH</v>
      </c>
      <c r="D1331" t="s">
        <v>1324</v>
      </c>
      <c r="E1331" t="s">
        <v>8</v>
      </c>
      <c r="F1331" s="1" cm="1">
        <f t="array" ref="F1331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1" s="1" cm="1">
        <f t="array" ref="G1331">SUMPRODUCT(("T_B_u-HYBDSL-S2"=[1]OUT_TransportEnergyCons!$A$3:$A$1000)*1,("Var_Fin"=[1]OUT_TransportEnergyCons!$B$3:$B$1000)*1,ISNUMBER(SEARCH("DSL",[1]OUT_TransportEnergyCons!$C$3:$C$1000))*1,[1]OUT_TransportEnergyCons!E$3:E$1000)</f>
        <v>4.4818516785769951E-4</v>
      </c>
      <c r="H1331" s="1" cm="1">
        <f t="array" ref="H1331">SUMPRODUCT(("T_B_u-HYBDSL-S2"=[1]OUT_TransportEnergyCons!$A$3:$A$1000)*1,("Var_Fin"=[1]OUT_TransportEnergyCons!$B$3:$B$1000)*1,ISNUMBER(SEARCH("DSL",[1]OUT_TransportEnergyCons!$C$3:$C$1000))*1,[1]OUT_TransportEnergyCons!F$3:F$1000)</f>
        <v>7.0208308477213944E-4</v>
      </c>
      <c r="I1331" s="1" cm="1">
        <f t="array" ref="I1331">SUMPRODUCT(("T_B_u-HYBDSL-S2"=[1]OUT_TransportEnergyCons!$A$3:$A$1000)*1,("Var_Fin"=[1]OUT_TransportEnergyCons!$B$3:$B$1000)*1,ISNUMBER(SEARCH("DSL",[1]OUT_TransportEnergyCons!$C$3:$C$1000))*1,[1]OUT_TransportEnergyCons!G$3:G$1000)</f>
        <v>4.7182907217379412E-4</v>
      </c>
      <c r="J1331" s="1" cm="1">
        <f t="array" ref="J1331">SUMPRODUCT(("T_B_u-HYBDSL-S2"=[1]OUT_TransportEnergyCons!$A$3:$A$1000)*1,("Var_Fin"=[1]OUT_TransportEnergyCons!$B$3:$B$1000)*1,ISNUMBER(SEARCH("DSL",[1]OUT_TransportEnergyCons!$C$3:$C$1000))*1,[1]OUT_TransportEnergyCons!H$3:H$1000)</f>
        <v>7.6319347354705694E-4</v>
      </c>
      <c r="K1331" s="1" cm="1">
        <f t="array" ref="K1331">SUMPRODUCT(("T_B_u-HYBDSL-S2"=[1]OUT_TransportEnergyCons!$A$3:$A$1000)*1,("Var_Fin"=[1]OUT_TransportEnergyCons!$B$3:$B$1000)*1,ISNUMBER(SEARCH("DSL",[1]OUT_TransportEnergyCons!$C$3:$C$1000))*1,[1]OUT_TransportEnergyCons!I$3:I$1000)</f>
        <v>5.0389368924370806E-4</v>
      </c>
    </row>
    <row r="1332" spans="2:11" x14ac:dyDescent="0.35">
      <c r="B1332" s="5" t="str">
        <f t="shared" ref="B1332:B1395" si="800">B1331</f>
        <v>SPS4</v>
      </c>
      <c r="C1332" s="5" t="str">
        <f t="shared" si="791"/>
        <v>CH</v>
      </c>
      <c r="D1332" t="s">
        <v>1325</v>
      </c>
      <c r="E1332" t="s">
        <v>8</v>
      </c>
      <c r="F1332" s="1" cm="1">
        <f t="array" ref="F1332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SUMPRODUCT(("T_B_u-HYBDSL-S3"=[1]OUT_TransportEnergyCons!$A$3:$A$1000)*1,("Var_Fin"=[1]OUT_TransportEnergyCons!$B$3:$B$1000)*1,ISNUMBER(SEARCH("DSL",[1]OUT_TransportEnergyCons!$C$3:$C$1000))*1,[1]OUT_TransportEnergyCons!E$3:E$1000)</f>
        <v>4.3116095572444051E-2</v>
      </c>
      <c r="H1332" s="1" cm="1">
        <f t="array" ref="H1332">SUMPRODUCT(("T_B_u-HYBDSL-S3"=[1]OUT_TransportEnergyCons!$A$3:$A$1000)*1,("Var_Fin"=[1]OUT_TransportEnergyCons!$B$3:$B$1000)*1,ISNUMBER(SEARCH("DSL",[1]OUT_TransportEnergyCons!$C$3:$C$1000))*1,[1]OUT_TransportEnergyCons!F$3:F$1000)</f>
        <v>0.5803102553970898</v>
      </c>
      <c r="I1332" s="1" cm="1">
        <f t="array" ref="I1332">SUMPRODUCT(("T_B_u-HYBDSL-S3"=[1]OUT_TransportEnergyCons!$A$3:$A$1000)*1,("Var_Fin"=[1]OUT_TransportEnergyCons!$B$3:$B$1000)*1,ISNUMBER(SEARCH("DSL",[1]OUT_TransportEnergyCons!$C$3:$C$1000))*1,[1]OUT_TransportEnergyCons!G$3:G$1000)</f>
        <v>0.97038163180807901</v>
      </c>
      <c r="J1332" s="1" cm="1">
        <f t="array" ref="J1332">SUMPRODUCT(("T_B_u-HYBDSL-S3"=[1]OUT_TransportEnergyCons!$A$3:$A$1000)*1,("Var_Fin"=[1]OUT_TransportEnergyCons!$B$3:$B$1000)*1,ISNUMBER(SEARCH("DSL",[1]OUT_TransportEnergyCons!$C$3:$C$1000))*1,[1]OUT_TransportEnergyCons!H$3:H$1000)</f>
        <v>1.1720730216200834</v>
      </c>
      <c r="K1332" s="1" cm="1">
        <f t="array" ref="K1332">SUMPRODUCT(("T_B_u-HYBDSL-S3"=[1]OUT_TransportEnergyCons!$A$3:$A$1000)*1,("Var_Fin"=[1]OUT_TransportEnergyCons!$B$3:$B$1000)*1,ISNUMBER(SEARCH("DSL",[1]OUT_TransportEnergyCons!$C$3:$C$1000))*1,[1]OUT_TransportEnergyCons!I$3:I$1000)</f>
        <v>1.3964871727548243</v>
      </c>
    </row>
    <row r="1333" spans="2:11" x14ac:dyDescent="0.35">
      <c r="B1333" s="5" t="str">
        <f t="shared" si="800"/>
        <v>SPS4</v>
      </c>
      <c r="C1333" s="5" t="str">
        <f t="shared" si="791"/>
        <v>CH</v>
      </c>
      <c r="D1333" t="s">
        <v>1326</v>
      </c>
      <c r="E1333" t="s">
        <v>8</v>
      </c>
      <c r="F1333" s="1" cm="1">
        <f t="array" ref="F1333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SUMPRODUCT(("T_B_u-HYBDSL-S4"=[1]OUT_TransportEnergyCons!$A$3:$A$1000)*1,("Var_Fin"=[1]OUT_TransportEnergyCons!$B$3:$B$1000)*1,ISNUMBER(SEARCH("DSL",[1]OUT_TransportEnergyCons!$C$3:$C$1000))*1,[1]OUT_TransportEnergyCons!E$3:E$1000)</f>
        <v>1.1830331568444359E-5</v>
      </c>
      <c r="H1333" s="1" cm="1">
        <f t="array" ref="H1333">SUMPRODUCT(("T_B_u-HYBDSL-S4"=[1]OUT_TransportEnergyCons!$A$3:$A$1000)*1,("Var_Fin"=[1]OUT_TransportEnergyCons!$B$3:$B$1000)*1,ISNUMBER(SEARCH("DSL",[1]OUT_TransportEnergyCons!$C$3:$C$1000))*1,[1]OUT_TransportEnergyCons!F$3:F$1000)</f>
        <v>2.7667447969332132E-5</v>
      </c>
      <c r="I1333" s="1" cm="1">
        <f t="array" ref="I1333">SUMPRODUCT(("T_B_u-HYBDSL-S4"=[1]OUT_TransportEnergyCons!$A$3:$A$1000)*1,("Var_Fin"=[1]OUT_TransportEnergyCons!$B$3:$B$1000)*1,ISNUMBER(SEARCH("DSL",[1]OUT_TransportEnergyCons!$C$3:$C$1000))*1,[1]OUT_TransportEnergyCons!G$3:G$1000)</f>
        <v>1.1991530831669724E-5</v>
      </c>
      <c r="J1333" s="1" cm="1">
        <f t="array" ref="J1333">SUMPRODUCT(("T_B_u-HYBDSL-S4"=[1]OUT_TransportEnergyCons!$A$3:$A$1000)*1,("Var_Fin"=[1]OUT_TransportEnergyCons!$B$3:$B$1000)*1,ISNUMBER(SEARCH("DSL",[1]OUT_TransportEnergyCons!$C$3:$C$1000))*1,[1]OUT_TransportEnergyCons!H$3:H$1000)</f>
        <v>2.9587432713474149E-5</v>
      </c>
      <c r="K1333" s="1" cm="1">
        <f t="array" ref="K1333">SUMPRODUCT(("T_B_u-HYBDSL-S4"=[1]OUT_TransportEnergyCons!$A$3:$A$1000)*1,("Var_Fin"=[1]OUT_TransportEnergyCons!$B$3:$B$1000)*1,ISNUMBER(SEARCH("DSL",[1]OUT_TransportEnergyCons!$C$3:$C$1000))*1,[1]OUT_TransportEnergyCons!I$3:I$1000)</f>
        <v>6.2658007157749201E-7</v>
      </c>
    </row>
    <row r="1334" spans="2:11" x14ac:dyDescent="0.35">
      <c r="B1334" s="5" t="str">
        <f t="shared" si="800"/>
        <v>SPS4</v>
      </c>
      <c r="C1334" s="5" t="str">
        <f t="shared" si="791"/>
        <v>CH</v>
      </c>
      <c r="D1334" t="s">
        <v>2001</v>
      </c>
      <c r="E1334" t="s">
        <v>8</v>
      </c>
      <c r="F1334" s="1" cm="1">
        <f t="array" ref="F1334">SUMPRODUCT(("T_B_u-ICEDSLEXT"=[1]OUT_TransportEnergyCons!$A$3:$A$1000)*1,("Var_Fin"=[1]OUT_TransportEnergyCons!$B$3:$B$1000)*1,ISNUMBER(SEARCH("DSL",[1]OUT_TransportEnergyCons!$C$3:$C$1000))*1,[1]OUT_TransportEnergyCons!D$3:D$1000)</f>
        <v>1.7338485605394451E-2</v>
      </c>
      <c r="G1334" s="1" cm="1">
        <f t="array" ref="G1334">SUMPRODUCT(("T_B_u-ICEDSLEXT"=[1]OUT_TransportEnergyCons!$A$3:$A$1000)*1,("Var_Fin"=[1]OUT_TransportEnergyCons!$B$3:$B$1000)*1,ISNUMBER(SEARCH("DSL",[1]OUT_TransportEnergyCons!$C$3:$C$1000))*1,[1]OUT_TransportEnergyCons!E$3:E$1000)</f>
        <v>1.7318321867096715E-2</v>
      </c>
      <c r="H1334" s="1" cm="1">
        <f t="array" ref="H1334">SUMPRODUCT(("T_B_u-ICEDSLEXT"=[1]OUT_TransportEnergyCons!$A$3:$A$1000)*1,("Var_Fin"=[1]OUT_TransportEnergyCons!$B$3:$B$1000)*1,ISNUMBER(SEARCH("DSL",[1]OUT_TransportEnergyCons!$C$3:$C$1000))*1,[1]OUT_TransportEnergyCons!F$3:F$1000)</f>
        <v>1.7250392130529601E-2</v>
      </c>
      <c r="I1334" s="1" cm="1">
        <f t="array" ref="I1334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4" s="1" cm="1">
        <f t="array" ref="J1334">SUMPRODUCT(("T_B_u-ICEDSLEXT"=[1]OUT_TransportEnergyCons!$A$3:$A$1000)*1,("Var_Fin"=[1]OUT_TransportEnergyCons!$B$3:$B$1000)*1,ISNUMBER(SEARCH("DSL",[1]OUT_TransportEnergyCons!$C$3:$C$1000))*1,[1]OUT_TransportEnergyCons!H$3:H$1000)</f>
        <v>0</v>
      </c>
      <c r="K1334" s="1" cm="1">
        <f t="array" ref="K1334">SUMPRODUCT(("T_B_u-ICEDSLEXT"=[1]OUT_TransportEnergyCons!$A$3:$A$1000)*1,("Var_Fin"=[1]OUT_TransportEnergyCons!$B$3:$B$1000)*1,ISNUMBER(SEARCH("DSL",[1]OUT_TransportEnergyCons!$C$3:$C$1000))*1,[1]OUT_TransportEnergyCons!I$3:I$1000)</f>
        <v>0</v>
      </c>
    </row>
    <row r="1335" spans="2:11" x14ac:dyDescent="0.35">
      <c r="B1335" s="5" t="str">
        <f t="shared" si="800"/>
        <v>SPS4</v>
      </c>
      <c r="C1335" s="5" t="str">
        <f t="shared" si="791"/>
        <v>CH</v>
      </c>
      <c r="D1335" t="s">
        <v>1327</v>
      </c>
      <c r="E1335" t="s">
        <v>8</v>
      </c>
      <c r="F1335" s="1" cm="1">
        <f t="array" ref="F1335">SUMPRODUCT(("T_B_u-ICEDSL-S1"=[1]OUT_TransportEnergyCons!$A$3:$A$1000)*1,("Var_Fin"=[1]OUT_TransportEnergyCons!$B$3:$B$1000)*1,ISNUMBER(SEARCH("DSL",[1]OUT_TransportEnergyCons!$C$3:$C$1000))*1,[1]OUT_TransportEnergyCons!D$3:D$1000)</f>
        <v>2.8940621434066791E-4</v>
      </c>
      <c r="G1335" s="1" cm="1">
        <f t="array" ref="G1335">SUMPRODUCT(("T_B_u-ICEDSL-S1"=[1]OUT_TransportEnergyCons!$A$3:$A$1000)*1,("Var_Fin"=[1]OUT_TransportEnergyCons!$B$3:$B$1000)*1,ISNUMBER(SEARCH("DSL",[1]OUT_TransportEnergyCons!$C$3:$C$1000))*1,[1]OUT_TransportEnergyCons!E$3:E$1000)</f>
        <v>0.26281075162671308</v>
      </c>
      <c r="H1335" s="1" cm="1">
        <f t="array" ref="H1335">SUMPRODUCT(("T_B_u-ICEDSL-S1"=[1]OUT_TransportEnergyCons!$A$3:$A$1000)*1,("Var_Fin"=[1]OUT_TransportEnergyCons!$B$3:$B$1000)*1,ISNUMBER(SEARCH("DSL",[1]OUT_TransportEnergyCons!$C$3:$C$1000))*1,[1]OUT_TransportEnergyCons!F$3:F$1000)</f>
        <v>0.46591122139303809</v>
      </c>
      <c r="I1335" s="1" cm="1">
        <f t="array" ref="I1335">SUMPRODUCT(("T_B_u-ICEDSL-S1"=[1]OUT_TransportEnergyCons!$A$3:$A$1000)*1,("Var_Fin"=[1]OUT_TransportEnergyCons!$B$3:$B$1000)*1,ISNUMBER(SEARCH("DSL",[1]OUT_TransportEnergyCons!$C$3:$C$1000))*1,[1]OUT_TransportEnergyCons!G$3:G$1000)</f>
        <v>4.3026748031379159E-5</v>
      </c>
      <c r="J1335" s="1" cm="1">
        <f t="array" ref="J1335">SUMPRODUCT(("T_B_u-ICEDSL-S1"=[1]OUT_TransportEnergyCons!$A$3:$A$1000)*1,("Var_Fin"=[1]OUT_TransportEnergyCons!$B$3:$B$1000)*1,ISNUMBER(SEARCH("DSL",[1]OUT_TransportEnergyCons!$C$3:$C$1000))*1,[1]OUT_TransportEnergyCons!H$3:H$1000)</f>
        <v>0</v>
      </c>
      <c r="K1335" s="1" cm="1">
        <f t="array" ref="K1335">SUMPRODUCT(("T_B_u-ICEDSL-S1"=[1]OUT_TransportEnergyCons!$A$3:$A$1000)*1,("Var_Fin"=[1]OUT_TransportEnergyCons!$B$3:$B$1000)*1,ISNUMBER(SEARCH("DSL",[1]OUT_TransportEnergyCons!$C$3:$C$1000))*1,[1]OUT_TransportEnergyCons!I$3:I$1000)</f>
        <v>0</v>
      </c>
    </row>
    <row r="1336" spans="2:11" x14ac:dyDescent="0.35">
      <c r="B1336" s="5" t="str">
        <f t="shared" si="800"/>
        <v>SPS4</v>
      </c>
      <c r="C1336" s="5" t="str">
        <f t="shared" si="791"/>
        <v>CH</v>
      </c>
      <c r="D1336" t="s">
        <v>1328</v>
      </c>
      <c r="E1336" t="s">
        <v>8</v>
      </c>
      <c r="F1336" s="1" cm="1">
        <f t="array" ref="F1336">SUMPRODUCT(("T_B_u-ICEDSL-S2"=[1]OUT_TransportEnergyCons!$A$3:$A$1000)*1,("Var_Fin"=[1]OUT_TransportEnergyCons!$B$3:$B$1000)*1,ISNUMBER(SEARCH("DSL",[1]OUT_TransportEnergyCons!$C$3:$C$1000))*1,[1]OUT_TransportEnergyCons!D$3:D$1000)</f>
        <v>0.10940151754609219</v>
      </c>
      <c r="G1336" s="1" cm="1">
        <f t="array" ref="G1336">SUMPRODUCT(("T_B_u-ICEDSL-S2"=[1]OUT_TransportEnergyCons!$A$3:$A$1000)*1,("Var_Fin"=[1]OUT_TransportEnergyCons!$B$3:$B$1000)*1,ISNUMBER(SEARCH("DSL",[1]OUT_TransportEnergyCons!$C$3:$C$1000))*1,[1]OUT_TransportEnergyCons!E$3:E$1000)</f>
        <v>0.13696161058841166</v>
      </c>
      <c r="H1336" s="1" cm="1">
        <f t="array" ref="H1336">SUMPRODUCT(("T_B_u-ICEDSL-S2"=[1]OUT_TransportEnergyCons!$A$3:$A$1000)*1,("Var_Fin"=[1]OUT_TransportEnergyCons!$B$3:$B$1000)*1,ISNUMBER(SEARCH("DSL",[1]OUT_TransportEnergyCons!$C$3:$C$1000))*1,[1]OUT_TransportEnergyCons!F$3:F$1000)</f>
        <v>0.22420085834168851</v>
      </c>
      <c r="I1336" s="1" cm="1">
        <f t="array" ref="I1336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SUMPRODUCT(("T_B_u-ICEDSL-S2"=[1]OUT_TransportEnergyCons!$A$3:$A$1000)*1,("Var_Fin"=[1]OUT_TransportEnergyCons!$B$3:$B$1000)*1,ISNUMBER(SEARCH("DSL",[1]OUT_TransportEnergyCons!$C$3:$C$1000))*1,[1]OUT_TransportEnergyCons!H$3:H$1000)</f>
        <v>0</v>
      </c>
      <c r="K1336" s="1" cm="1">
        <f t="array" ref="K1336">SUMPRODUCT(("T_B_u-ICEDSL-S2"=[1]OUT_TransportEnergyCons!$A$3:$A$1000)*1,("Var_Fin"=[1]OUT_TransportEnergyCons!$B$3:$B$1000)*1,ISNUMBER(SEARCH("DSL",[1]OUT_TransportEnergyCons!$C$3:$C$1000))*1,[1]OUT_TransportEnergyCons!I$3:I$1000)</f>
        <v>0</v>
      </c>
    </row>
    <row r="1337" spans="2:11" x14ac:dyDescent="0.35">
      <c r="B1337" s="5" t="str">
        <f t="shared" si="800"/>
        <v>SPS4</v>
      </c>
      <c r="C1337" s="5" t="str">
        <f t="shared" si="791"/>
        <v>CH</v>
      </c>
      <c r="D1337" t="s">
        <v>1329</v>
      </c>
      <c r="E1337" t="s">
        <v>8</v>
      </c>
      <c r="F1337" s="1" cm="1">
        <f t="array" ref="F1337">SUMPRODUCT(("T_B_u-ICEDSL-S3"=[1]OUT_TransportEnergyCons!$A$3:$A$1000)*1,("Var_Fin"=[1]OUT_TransportEnergyCons!$B$3:$B$1000)*1,ISNUMBER(SEARCH("DSL",[1]OUT_TransportEnergyCons!$C$3:$C$1000))*1,[1]OUT_TransportEnergyCons!D$3:D$1000)</f>
        <v>0.62362311072971011</v>
      </c>
      <c r="G1337" s="1" cm="1">
        <f t="array" ref="G1337">SUMPRODUCT(("T_B_u-ICEDSL-S3"=[1]OUT_TransportEnergyCons!$A$3:$A$1000)*1,("Var_Fin"=[1]OUT_TransportEnergyCons!$B$3:$B$1000)*1,ISNUMBER(SEARCH("DSL",[1]OUT_TransportEnergyCons!$C$3:$C$1000))*1,[1]OUT_TransportEnergyCons!E$3:E$1000)</f>
        <v>0.87095203904916074</v>
      </c>
      <c r="H1337" s="1" cm="1">
        <f t="array" ref="H1337">SUMPRODUCT(("T_B_u-ICEDSL-S3"=[1]OUT_TransportEnergyCons!$A$3:$A$1000)*1,("Var_Fin"=[1]OUT_TransportEnergyCons!$B$3:$B$1000)*1,ISNUMBER(SEARCH("DSL",[1]OUT_TransportEnergyCons!$C$3:$C$1000))*1,[1]OUT_TransportEnergyCons!F$3:F$1000)</f>
        <v>0.8715898253017923</v>
      </c>
      <c r="I1337" s="1" cm="1">
        <f t="array" ref="I1337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7" s="1" cm="1">
        <f t="array" ref="J1337">SUMPRODUCT(("T_B_u-ICEDSL-S3"=[1]OUT_TransportEnergyCons!$A$3:$A$1000)*1,("Var_Fin"=[1]OUT_TransportEnergyCons!$B$3:$B$1000)*1,ISNUMBER(SEARCH("DSL",[1]OUT_TransportEnergyCons!$C$3:$C$1000))*1,[1]OUT_TransportEnergyCons!H$3:H$1000)</f>
        <v>0</v>
      </c>
      <c r="K1337" s="1" cm="1">
        <f t="array" ref="K1337">SUMPRODUCT(("T_B_u-ICEDSL-S3"=[1]OUT_TransportEnergyCons!$A$3:$A$1000)*1,("Var_Fin"=[1]OUT_TransportEnergyCons!$B$3:$B$1000)*1,ISNUMBER(SEARCH("DSL",[1]OUT_TransportEnergyCons!$C$3:$C$1000))*1,[1]OUT_TransportEnergyCons!I$3:I$1000)</f>
        <v>0</v>
      </c>
    </row>
    <row r="1338" spans="2:11" x14ac:dyDescent="0.35">
      <c r="B1338" s="5" t="str">
        <f t="shared" si="800"/>
        <v>SPS4</v>
      </c>
      <c r="C1338" s="5" t="str">
        <f t="shared" si="791"/>
        <v>CH</v>
      </c>
      <c r="D1338" t="s">
        <v>1330</v>
      </c>
      <c r="E1338" t="s">
        <v>8</v>
      </c>
      <c r="F1338" s="1" cm="1">
        <f t="array" ref="F1338">SUMPRODUCT(("T_B_u-ICEDSL-S4"=[1]OUT_TransportEnergyCons!$A$3:$A$1000)*1,("Var_Fin"=[1]OUT_TransportEnergyCons!$B$3:$B$1000)*1,ISNUMBER(SEARCH("DSL",[1]OUT_TransportEnergyCons!$C$3:$C$1000))*1,[1]OUT_TransportEnergyCons!D$3:D$1000)</f>
        <v>3.6480070478981815E-3</v>
      </c>
      <c r="G1338" s="1" cm="1">
        <f t="array" ref="G1338">SUMPRODUCT(("T_B_u-ICEDSL-S4"=[1]OUT_TransportEnergyCons!$A$3:$A$1000)*1,("Var_Fin"=[1]OUT_TransportEnergyCons!$B$3:$B$1000)*1,ISNUMBER(SEARCH("DSL",[1]OUT_TransportEnergyCons!$C$3:$C$1000))*1,[1]OUT_TransportEnergyCons!E$3:E$1000)</f>
        <v>8.1333730439594635E-5</v>
      </c>
      <c r="H1338" s="1" cm="1">
        <f t="array" ref="H1338">SUMPRODUCT(("T_B_u-ICEDSL-S4"=[1]OUT_TransportEnergyCons!$A$3:$A$1000)*1,("Var_Fin"=[1]OUT_TransportEnergyCons!$B$3:$B$1000)*1,ISNUMBER(SEARCH("DSL",[1]OUT_TransportEnergyCons!$C$3:$C$1000))*1,[1]OUT_TransportEnergyCons!F$3:F$1000)</f>
        <v>2.5828900830892742E-4</v>
      </c>
      <c r="I1338" s="1" cm="1">
        <f t="array" ref="I1338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SUMPRODUCT(("T_B_u-ICEDSL-S4"=[1]OUT_TransportEnergyCons!$A$3:$A$1000)*1,("Var_Fin"=[1]OUT_TransportEnergyCons!$B$3:$B$1000)*1,ISNUMBER(SEARCH("DSL",[1]OUT_TransportEnergyCons!$C$3:$C$1000))*1,[1]OUT_TransportEnergyCons!H$3:H$1000)</f>
        <v>0</v>
      </c>
      <c r="K1338" s="1" cm="1">
        <f t="array" ref="K1338">SUMPRODUCT(("T_B_u-ICEDSL-S4"=[1]OUT_TransportEnergyCons!$A$3:$A$1000)*1,("Var_Fin"=[1]OUT_TransportEnergyCons!$B$3:$B$1000)*1,ISNUMBER(SEARCH("DSL",[1]OUT_TransportEnergyCons!$C$3:$C$1000))*1,[1]OUT_TransportEnergyCons!I$3:I$1000)</f>
        <v>0</v>
      </c>
    </row>
    <row r="1339" spans="2:11" x14ac:dyDescent="0.35">
      <c r="B1339" s="5" t="str">
        <f t="shared" si="800"/>
        <v>SPS4</v>
      </c>
      <c r="C1339" s="5" t="str">
        <f t="shared" si="791"/>
        <v>CH</v>
      </c>
      <c r="D1339" t="s">
        <v>1344</v>
      </c>
      <c r="E1339" t="s">
        <v>8</v>
      </c>
      <c r="F1339" s="1">
        <f>SUM(F1344:F1348)</f>
        <v>3.1596638961618121E-4</v>
      </c>
      <c r="G1339" s="1">
        <f t="shared" ref="G1339:K1339" si="801">SUM(G1344:G1348)</f>
        <v>6.2738248648611865E-4</v>
      </c>
      <c r="H1339" s="1">
        <f t="shared" si="801"/>
        <v>1.8972973963858619E-2</v>
      </c>
      <c r="I1339" s="1">
        <f t="shared" si="801"/>
        <v>2.0180026115931588E-6</v>
      </c>
      <c r="J1339" s="1">
        <f t="shared" si="801"/>
        <v>1.3127556864009273E-6</v>
      </c>
      <c r="K1339" s="1">
        <f t="shared" si="801"/>
        <v>9.2701011400010358E-7</v>
      </c>
    </row>
    <row r="1340" spans="2:11" x14ac:dyDescent="0.35">
      <c r="B1340" s="5" t="str">
        <f t="shared" si="800"/>
        <v>SPS4</v>
      </c>
      <c r="C1340" s="5" t="str">
        <f t="shared" si="791"/>
        <v>CH</v>
      </c>
      <c r="D1340" t="s">
        <v>1345</v>
      </c>
      <c r="E1340" t="s">
        <v>8</v>
      </c>
      <c r="F1340" s="1">
        <f>F1339-F1341</f>
        <v>2.923528959257539E-4</v>
      </c>
      <c r="G1340" s="1">
        <f t="shared" ref="G1340:K1340" si="802">G1339-G1341</f>
        <v>5.6640201339749961E-4</v>
      </c>
      <c r="H1340" s="1">
        <f t="shared" si="802"/>
        <v>1.7165307183208665E-2</v>
      </c>
      <c r="I1340" s="1">
        <f t="shared" si="802"/>
        <v>1.9280983666861124E-6</v>
      </c>
      <c r="J1340" s="1">
        <f t="shared" si="802"/>
        <v>-5.6625307973278357E-5</v>
      </c>
      <c r="K1340" s="1">
        <f t="shared" si="802"/>
        <v>-1.1921921901069032E-4</v>
      </c>
    </row>
    <row r="1341" spans="2:11" x14ac:dyDescent="0.35">
      <c r="B1341" s="5" t="str">
        <f t="shared" si="800"/>
        <v>SPS4</v>
      </c>
      <c r="C1341" s="5" t="str">
        <f t="shared" si="791"/>
        <v>CH</v>
      </c>
      <c r="D1341" t="s">
        <v>1346</v>
      </c>
      <c r="E1341" t="s">
        <v>8</v>
      </c>
      <c r="F1341" s="1">
        <f>SUM(F1342:F1343)</f>
        <v>2.3613493690427307E-5</v>
      </c>
      <c r="G1341" s="1">
        <f t="shared" ref="G1341" si="803">SUM(G1342:G1343)</f>
        <v>6.0980473088619016E-5</v>
      </c>
      <c r="H1341" s="1">
        <f t="shared" ref="H1341" si="804">SUM(H1342:H1343)</f>
        <v>1.8076667806499549E-3</v>
      </c>
      <c r="I1341" s="1">
        <f t="shared" ref="I1341" si="805">SUM(I1342:I1343)</f>
        <v>8.9904244907046523E-8</v>
      </c>
      <c r="J1341" s="1">
        <f t="shared" ref="J1341" si="806">SUM(J1342:J1343)</f>
        <v>5.7938063659679287E-5</v>
      </c>
      <c r="K1341" s="1">
        <f t="shared" ref="K1341" si="807">SUM(K1342:K1343)</f>
        <v>1.2014622912469042E-4</v>
      </c>
    </row>
    <row r="1342" spans="2:11" x14ac:dyDescent="0.35">
      <c r="B1342" s="5" t="str">
        <f t="shared" si="800"/>
        <v>SPS4</v>
      </c>
      <c r="C1342" s="5" t="str">
        <f t="shared" si="791"/>
        <v>CH</v>
      </c>
      <c r="D1342" t="s">
        <v>1347</v>
      </c>
      <c r="E1342" t="s">
        <v>8</v>
      </c>
      <c r="F1342" s="1">
        <f>[1]Transport!B$27/SUM([1]Transport!B$24,[1]Transport!B$27)*F1339*(F$45+F$612)/(F$45+F$612+F$47)</f>
        <v>2.3613493690427307E-5</v>
      </c>
      <c r="G1342" s="1">
        <f>[1]Transport!C$27/SUM([1]Transport!C$24,[1]Transport!C$27)*G1339*(G$45+G$612)/(G$45+G$612+G$47)</f>
        <v>6.0980473088619016E-5</v>
      </c>
      <c r="H1342" s="1">
        <f>[1]Transport!D$27/SUM([1]Transport!D$24,[1]Transport!D$27)*H1339*(H$45+H$612)/(H$45+H$612+H$47)</f>
        <v>1.8076667806499549E-3</v>
      </c>
      <c r="I1342" s="1">
        <f>[1]Transport!E$27/SUM([1]Transport!E$24,[1]Transport!E$27)*I1339*(I$45+I$612)/(I$45+I$612+I$47)</f>
        <v>8.9904244907046523E-8</v>
      </c>
      <c r="J1342" s="1">
        <f>[1]Transport!F$27/SUM([1]Transport!F$24,[1]Transport!F$27)*J1339*(J$45+J$612)/(J$45+J$612+J$47)</f>
        <v>2.3513580473847826E-8</v>
      </c>
      <c r="K1342" s="1">
        <f>[1]Transport!G$27/SUM([1]Transport!G$24,[1]Transport!G$27)*K1339*(K$45+K$612)/(K$45+K$612+K$47)</f>
        <v>1.396199027557198E-8</v>
      </c>
    </row>
    <row r="1343" spans="2:11" x14ac:dyDescent="0.35">
      <c r="B1343" s="5" t="str">
        <f t="shared" si="800"/>
        <v>SPS4</v>
      </c>
      <c r="C1343" s="5" t="str">
        <f t="shared" si="791"/>
        <v>CH</v>
      </c>
      <c r="D1343" t="s">
        <v>1348</v>
      </c>
      <c r="E1343" t="s">
        <v>8</v>
      </c>
      <c r="F1343" s="1">
        <f>(F$47+F$714)/([1]Transport!B$24+[1]Transport!B$27)*F1339</f>
        <v>0</v>
      </c>
      <c r="G1343" s="1">
        <f>(G$47+G$714)/([1]Transport!C$24+[1]Transport!C$27)*G1339</f>
        <v>0</v>
      </c>
      <c r="H1343" s="1">
        <f>(H$47+H$714)/([1]Transport!D$24+[1]Transport!D$27)*H1339</f>
        <v>0</v>
      </c>
      <c r="I1343" s="1">
        <f>(I$47+I$714)/([1]Transport!E$24+[1]Transport!E$27)*I1339</f>
        <v>0</v>
      </c>
      <c r="J1343" s="1">
        <f>(J$47+J$714)/([1]Transport!F$24+[1]Transport!F$27)*J1339</f>
        <v>5.791455007920544E-5</v>
      </c>
      <c r="K1343" s="1">
        <f>(K$47+K$714)/([1]Transport!G$24+[1]Transport!G$27)*K1339</f>
        <v>1.2013226713441486E-4</v>
      </c>
    </row>
    <row r="1344" spans="2:11" x14ac:dyDescent="0.35">
      <c r="B1344" s="5" t="str">
        <f t="shared" si="800"/>
        <v>SPS4</v>
      </c>
      <c r="C1344" s="5" t="str">
        <f t="shared" si="791"/>
        <v>CH</v>
      </c>
      <c r="D1344" t="s">
        <v>2005</v>
      </c>
      <c r="E1344" t="s">
        <v>8</v>
      </c>
      <c r="F1344" s="1" cm="1">
        <f t="array" ref="F1344">SUMPRODUCT(("T_B_u-ICEngaEXT"=[1]OUT_TransportEnergyCons!$A$3:$A$1000)*1,("Var_Fin"=[1]OUT_TransportEnergyCons!$B$3:$B$1000)*1,ISNUMBER(SEARCH("nga",[1]OUT_TransportEnergyCons!$C$3:$C$1000))*1,[1]OUT_TransportEnergyCons!D$3:D$1000)</f>
        <v>3.1596638961618121E-4</v>
      </c>
      <c r="G1344" s="1" cm="1">
        <f t="array" ref="G1344">SUMPRODUCT(("T_B_u-ICEngaEXT"=[1]OUT_TransportEnergyCons!$A$3:$A$1000)*1,("Var_Fin"=[1]OUT_TransportEnergyCons!$B$3:$B$1000)*1,ISNUMBER(SEARCH("nga",[1]OUT_TransportEnergyCons!$C$3:$C$1000))*1,[1]OUT_TransportEnergyCons!E$3:E$1000)</f>
        <v>3.1744678331510032E-4</v>
      </c>
      <c r="H1344" s="1" cm="1">
        <f t="array" ref="H1344">SUMPRODUCT(("T_B_u-ICEngaEXT"=[1]OUT_TransportEnergyCons!$A$3:$A$1000)*1,("Var_Fin"=[1]OUT_TransportEnergyCons!$B$3:$B$1000)*1,ISNUMBER(SEARCH("nga",[1]OUT_TransportEnergyCons!$C$3:$C$1000))*1,[1]OUT_TransportEnergyCons!F$3:F$1000)</f>
        <v>3.1636416528866743E-4</v>
      </c>
      <c r="I1344" s="1" cm="1">
        <f t="array" ref="I1344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4" s="1" cm="1">
        <f t="array" ref="J1344">SUMPRODUCT(("T_B_u-ICEngaEXT"=[1]OUT_TransportEnergyCons!$A$3:$A$1000)*1,("Var_Fin"=[1]OUT_TransportEnergyCons!$B$3:$B$1000)*1,ISNUMBER(SEARCH("nga",[1]OUT_TransportEnergyCons!$C$3:$C$1000))*1,[1]OUT_TransportEnergyCons!H$3:H$1000)</f>
        <v>0</v>
      </c>
      <c r="K1344" s="1" cm="1">
        <f t="array" ref="K1344">SUMPRODUCT(("T_B_u-ICEngaEXT"=[1]OUT_TransportEnergyCons!$A$3:$A$1000)*1,("Var_Fin"=[1]OUT_TransportEnergyCons!$B$3:$B$1000)*1,ISNUMBER(SEARCH("nga",[1]OUT_TransportEnergyCons!$C$3:$C$1000))*1,[1]OUT_TransportEnergyCons!I$3:I$1000)</f>
        <v>0</v>
      </c>
    </row>
    <row r="1345" spans="2:11" x14ac:dyDescent="0.35">
      <c r="B1345" s="5" t="str">
        <f t="shared" si="800"/>
        <v>SPS4</v>
      </c>
      <c r="C1345" s="5" t="str">
        <f t="shared" si="791"/>
        <v>CH</v>
      </c>
      <c r="D1345" t="s">
        <v>1340</v>
      </c>
      <c r="E1345" t="s">
        <v>8</v>
      </c>
      <c r="F1345" s="1" cm="1">
        <f t="array" ref="F1345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5" s="1" cm="1">
        <f t="array" ref="G1345">SUMPRODUCT(("T_B_u-ICEnga-S1"=[1]OUT_TransportEnergyCons!$A$3:$A$1000)*1,("Var_Fin"=[1]OUT_TransportEnergyCons!$B$3:$B$1000)*1,ISNUMBER(SEARCH("nga",[1]OUT_TransportEnergyCons!$C$3:$C$1000))*1,[1]OUT_TransportEnergyCons!E$3:E$1000)</f>
        <v>1.511751139487933E-4</v>
      </c>
      <c r="H1345" s="1" cm="1">
        <f t="array" ref="H1345">SUMPRODUCT(("T_B_u-ICEnga-S1"=[1]OUT_TransportEnergyCons!$A$3:$A$1000)*1,("Var_Fin"=[1]OUT_TransportEnergyCons!$B$3:$B$1000)*1,ISNUMBER(SEARCH("nga",[1]OUT_TransportEnergyCons!$C$3:$C$1000))*1,[1]OUT_TransportEnergyCons!F$3:F$1000)</f>
        <v>1.1226195579827159E-3</v>
      </c>
      <c r="I1345" s="1" cm="1">
        <f t="array" ref="I1345">SUMPRODUCT(("T_B_u-ICEnga-S1"=[1]OUT_TransportEnergyCons!$A$3:$A$1000)*1,("Var_Fin"=[1]OUT_TransportEnergyCons!$B$3:$B$1000)*1,ISNUMBER(SEARCH("nga",[1]OUT_TransportEnergyCons!$C$3:$C$1000))*1,[1]OUT_TransportEnergyCons!G$3:G$1000)</f>
        <v>2.0180026115931588E-6</v>
      </c>
      <c r="J1345" s="1" cm="1">
        <f t="array" ref="J1345">SUMPRODUCT(("T_B_u-ICEnga-S1"=[1]OUT_TransportEnergyCons!$A$3:$A$1000)*1,("Var_Fin"=[1]OUT_TransportEnergyCons!$B$3:$B$1000)*1,ISNUMBER(SEARCH("nga",[1]OUT_TransportEnergyCons!$C$3:$C$1000))*1,[1]OUT_TransportEnergyCons!H$3:H$1000)</f>
        <v>1.3127556864009273E-6</v>
      </c>
      <c r="K1345" s="1" cm="1">
        <f t="array" ref="K1345">SUMPRODUCT(("T_B_u-ICEnga-S1"=[1]OUT_TransportEnergyCons!$A$3:$A$1000)*1,("Var_Fin"=[1]OUT_TransportEnergyCons!$B$3:$B$1000)*1,ISNUMBER(SEARCH("nga",[1]OUT_TransportEnergyCons!$C$3:$C$1000))*1,[1]OUT_TransportEnergyCons!I$3:I$1000)</f>
        <v>9.2701011400010358E-7</v>
      </c>
    </row>
    <row r="1346" spans="2:11" x14ac:dyDescent="0.35">
      <c r="B1346" s="5" t="str">
        <f t="shared" si="800"/>
        <v>SPS4</v>
      </c>
      <c r="C1346" s="5" t="str">
        <f t="shared" si="791"/>
        <v>CH</v>
      </c>
      <c r="D1346" t="s">
        <v>1341</v>
      </c>
      <c r="E1346" t="s">
        <v>8</v>
      </c>
      <c r="F1346" s="1" cm="1">
        <f t="array" ref="F1346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6" s="1" cm="1">
        <f t="array" ref="G1346">SUMPRODUCT(("T_B_u-ICEnga-S2"=[1]OUT_TransportEnergyCons!$A$3:$A$1000)*1,("Var_Fin"=[1]OUT_TransportEnergyCons!$B$3:$B$1000)*1,ISNUMBER(SEARCH("nga",[1]OUT_TransportEnergyCons!$C$3:$C$1000))*1,[1]OUT_TransportEnergyCons!E$3:E$1000)</f>
        <v>8.7363096988579206E-5</v>
      </c>
      <c r="H1346" s="1" cm="1">
        <f t="array" ref="H1346">SUMPRODUCT(("T_B_u-ICEnga-S2"=[1]OUT_TransportEnergyCons!$A$3:$A$1000)*1,("Var_Fin"=[1]OUT_TransportEnergyCons!$B$3:$B$1000)*1,ISNUMBER(SEARCH("nga",[1]OUT_TransportEnergyCons!$C$3:$C$1000))*1,[1]OUT_TransportEnergyCons!F$3:F$1000)</f>
        <v>1.7182984091539823E-2</v>
      </c>
      <c r="I1346" s="1" cm="1">
        <f t="array" ref="I1346">SUMPRODUCT(("T_B_u-ICEnga-S2"=[1]OUT_TransportEnergyCons!$A$3:$A$1000)*1,("Var_Fin"=[1]OUT_TransportEnergyCons!$B$3:$B$1000)*1,ISNUMBER(SEARCH("nga",[1]OUT_TransportEnergyCons!$C$3:$C$1000))*1,[1]OUT_TransportEnergyCons!G$3:G$1000)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SUMPRODUCT(("T_B_u-ICEnga-S2"=[1]OUT_TransportEnergyCons!$A$3:$A$1000)*1,("Var_Fin"=[1]OUT_TransportEnergyCons!$B$3:$B$1000)*1,ISNUMBER(SEARCH("nga",[1]OUT_TransportEnergyCons!$C$3:$C$1000))*1,[1]OUT_TransportEnergyCons!H$3:H$1000)</f>
        <v>0</v>
      </c>
      <c r="K1346" s="1" cm="1">
        <f t="array" ref="K1346">SUMPRODUCT(("T_B_u-ICEnga-S2"=[1]OUT_TransportEnergyCons!$A$3:$A$1000)*1,("Var_Fin"=[1]OUT_TransportEnergyCons!$B$3:$B$1000)*1,ISNUMBER(SEARCH("nga",[1]OUT_TransportEnergyCons!$C$3:$C$1000))*1,[1]OUT_TransportEnergyCons!I$3:I$1000)</f>
        <v>0</v>
      </c>
    </row>
    <row r="1347" spans="2:11" x14ac:dyDescent="0.35">
      <c r="B1347" s="5" t="str">
        <f t="shared" si="800"/>
        <v>SPS4</v>
      </c>
      <c r="C1347" s="5" t="str">
        <f t="shared" si="791"/>
        <v>CH</v>
      </c>
      <c r="D1347" t="s">
        <v>1342</v>
      </c>
      <c r="E1347" t="s">
        <v>8</v>
      </c>
      <c r="F1347" s="1" cm="1">
        <f t="array" ref="F1347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SUMPRODUCT(("T_B_u-ICEnga-S3"=[1]OUT_TransportEnergyCons!$A$3:$A$1000)*1,("Var_Fin"=[1]OUT_TransportEnergyCons!$B$3:$B$1000)*1,ISNUMBER(SEARCH("nga",[1]OUT_TransportEnergyCons!$C$3:$C$1000))*1,[1]OUT_TransportEnergyCons!E$3:E$1000)</f>
        <v>7.1397492233645887E-5</v>
      </c>
      <c r="H1347" s="1" cm="1">
        <f t="array" ref="H1347">SUMPRODUCT(("T_B_u-ICEnga-S3"=[1]OUT_TransportEnergyCons!$A$3:$A$1000)*1,("Var_Fin"=[1]OUT_TransportEnergyCons!$B$3:$B$1000)*1,ISNUMBER(SEARCH("nga",[1]OUT_TransportEnergyCons!$C$3:$C$1000))*1,[1]OUT_TransportEnergyCons!F$3:F$1000)</f>
        <v>3.4845849073955213E-4</v>
      </c>
      <c r="I1347" s="1" cm="1">
        <f t="array" ref="I1347">SUMPRODUCT(("T_B_u-ICEnga-S3"=[1]OUT_TransportEnergyCons!$A$3:$A$1000)*1,("Var_Fin"=[1]OUT_TransportEnergyCons!$B$3:$B$1000)*1,ISNUMBER(SEARCH("nga",[1]OUT_TransportEnergyCons!$C$3:$C$1000))*1,[1]OUT_TransportEnergyCons!G$3:G$1000)</f>
        <v>0</v>
      </c>
      <c r="J1347" s="1" cm="1">
        <f t="array" ref="J1347">SUMPRODUCT(("T_B_u-ICEnga-S3"=[1]OUT_TransportEnergyCons!$A$3:$A$1000)*1,("Var_Fin"=[1]OUT_TransportEnergyCons!$B$3:$B$1000)*1,ISNUMBER(SEARCH("nga",[1]OUT_TransportEnergyCons!$C$3:$C$1000))*1,[1]OUT_TransportEnergyCons!H$3:H$1000)</f>
        <v>0</v>
      </c>
      <c r="K1347" s="1" cm="1">
        <f t="array" ref="K1347">SUMPRODUCT(("T_B_u-ICEnga-S3"=[1]OUT_TransportEnergyCons!$A$3:$A$1000)*1,("Var_Fin"=[1]OUT_TransportEnergyCons!$B$3:$B$1000)*1,ISNUMBER(SEARCH("nga",[1]OUT_TransportEnergyCons!$C$3:$C$1000))*1,[1]OUT_TransportEnergyCons!I$3:I$1000)</f>
        <v>0</v>
      </c>
    </row>
    <row r="1348" spans="2:11" x14ac:dyDescent="0.35">
      <c r="B1348" s="5" t="str">
        <f t="shared" si="800"/>
        <v>SPS4</v>
      </c>
      <c r="C1348" s="5" t="str">
        <f t="shared" si="791"/>
        <v>CH</v>
      </c>
      <c r="D1348" t="s">
        <v>1343</v>
      </c>
      <c r="E1348" t="s">
        <v>8</v>
      </c>
      <c r="F1348" s="1" cm="1">
        <f t="array" ref="F1348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SUMPRODUCT(("T_B_u-ICEnga-S4"=[1]OUT_TransportEnergyCons!$A$3:$A$1000)*1,("Var_Fin"=[1]OUT_TransportEnergyCons!$B$3:$B$1000)*1,ISNUMBER(SEARCH("nga",[1]OUT_TransportEnergyCons!$C$3:$C$1000))*1,[1]OUT_TransportEnergyCons!E$3:E$1000)</f>
        <v>0</v>
      </c>
      <c r="H1348" s="1" cm="1">
        <f t="array" ref="H1348">SUMPRODUCT(("T_B_u-ICEnga-S4"=[1]OUT_TransportEnergyCons!$A$3:$A$1000)*1,("Var_Fin"=[1]OUT_TransportEnergyCons!$B$3:$B$1000)*1,ISNUMBER(SEARCH("nga",[1]OUT_TransportEnergyCons!$C$3:$C$1000))*1,[1]OUT_TransportEnergyCons!F$3:F$1000)</f>
        <v>2.5476583078598264E-6</v>
      </c>
      <c r="I1348" s="1" cm="1">
        <f t="array" ref="I1348">SUMPRODUCT(("T_B_u-ICEnga-S4"=[1]OUT_TransportEnergyCons!$A$3:$A$1000)*1,("Var_Fin"=[1]OUT_TransportEnergyCons!$B$3:$B$1000)*1,ISNUMBER(SEARCH("nga",[1]OUT_TransportEnergyCons!$C$3:$C$1000))*1,[1]OUT_TransportEnergyCons!G$3:G$1000)</f>
        <v>0</v>
      </c>
      <c r="J1348" s="1" cm="1">
        <f t="array" ref="J1348">SUMPRODUCT(("T_B_u-ICEnga-S4"=[1]OUT_TransportEnergyCons!$A$3:$A$1000)*1,("Var_Fin"=[1]OUT_TransportEnergyCons!$B$3:$B$1000)*1,ISNUMBER(SEARCH("nga",[1]OUT_TransportEnergyCons!$C$3:$C$1000))*1,[1]OUT_TransportEnergyCons!H$3:H$1000)</f>
        <v>0</v>
      </c>
      <c r="K1348" s="1" cm="1">
        <f t="array" ref="K1348">SUMPRODUCT(("T_B_u-ICEnga-S4"=[1]OUT_TransportEnergyCons!$A$3:$A$1000)*1,("Var_Fin"=[1]OUT_TransportEnergyCons!$B$3:$B$1000)*1,ISNUMBER(SEARCH("nga",[1]OUT_TransportEnergyCons!$C$3:$C$1000))*1,[1]OUT_TransportEnergyCons!I$3:I$1000)</f>
        <v>0</v>
      </c>
    </row>
    <row r="1349" spans="2:11" x14ac:dyDescent="0.35">
      <c r="B1349" s="5" t="str">
        <f t="shared" si="800"/>
        <v>SPS4</v>
      </c>
      <c r="C1349" s="5" t="str">
        <f>C1348</f>
        <v>CH</v>
      </c>
      <c r="D1349" s="2" t="s">
        <v>1349</v>
      </c>
      <c r="E1349" s="2" t="s">
        <v>1132</v>
      </c>
      <c r="F1349" s="3">
        <f>SUM(F1350:F1372)</f>
        <v>0.29543858934366912</v>
      </c>
      <c r="G1349" s="3">
        <f t="shared" ref="G1349:K1349" si="808">SUM(G1350:G1372)</f>
        <v>0.30117955390357681</v>
      </c>
      <c r="H1349" s="3">
        <f t="shared" si="808"/>
        <v>0.30911495601243011</v>
      </c>
      <c r="I1349" s="3">
        <f t="shared" si="808"/>
        <v>0.32280210356258804</v>
      </c>
      <c r="J1349" s="3">
        <f t="shared" si="808"/>
        <v>0.35121358172470218</v>
      </c>
      <c r="K1349" s="3">
        <f t="shared" si="808"/>
        <v>0.37570398757868151</v>
      </c>
    </row>
    <row r="1350" spans="2:11" x14ac:dyDescent="0.35">
      <c r="B1350" s="5" t="str">
        <f t="shared" si="800"/>
        <v>SPS4</v>
      </c>
      <c r="C1350" s="5" t="str">
        <f>C1349</f>
        <v>CH</v>
      </c>
      <c r="D1350" t="s">
        <v>1350</v>
      </c>
      <c r="E1350" t="str">
        <f>E1349</f>
        <v>billion km/yr.</v>
      </c>
      <c r="F1350" s="1" cm="1">
        <f t="array" ref="F1350">SUMPRODUCT(("T_B_u-BeVELCEXT"=[1]OUT_TransportEnergyCons!$A$3:$A$1000)*1,("var_fout"=[1]OUT_TransportEnergyCons!$B$3:$B$1000)*1,ISNUMBER(SEARCH("tpbsu",[1]OUT_TransportEnergyCons!$C$3:$C$1000))*1,[1]OUT_TransportEnergyCons!D$3:D$1000)</f>
        <v>1.9919245142631103E-3</v>
      </c>
      <c r="G1350" s="1" cm="1">
        <f t="array" ref="G1350">SUMPRODUCT(("T_B_u-BeVELCEXT"=[1]OUT_TransportEnergyCons!$A$3:$A$1000)*1,("var_fout"=[1]OUT_TransportEnergyCons!$B$3:$B$1000)*1,ISNUMBER(SEARCH("tpbsu",[1]OUT_TransportEnergyCons!$C$3:$C$1000))*1,[1]OUT_TransportEnergyCons!E$3:E$1000)</f>
        <v>1.6110727773497857E-3</v>
      </c>
      <c r="H1350" s="1" cm="1">
        <f t="array" ref="H1350">SUMPRODUCT(("T_B_u-BeVELCEXT"=[1]OUT_TransportEnergyCons!$A$3:$A$1000)*1,("var_fout"=[1]OUT_TransportEnergyCons!$B$3:$B$1000)*1,ISNUMBER(SEARCH("tpbsu",[1]OUT_TransportEnergyCons!$C$3:$C$1000))*1,[1]OUT_TransportEnergyCons!F$3:F$1000)</f>
        <v>1.0051362089506472E-3</v>
      </c>
      <c r="I1350" s="1" cm="1">
        <f t="array" ref="I1350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0" s="1" cm="1">
        <f t="array" ref="J1350">SUMPRODUCT(("T_B_u-BeVELCEXT"=[1]OUT_TransportEnergyCons!$A$3:$A$1000)*1,("var_fout"=[1]OUT_TransportEnergyCons!$B$3:$B$1000)*1,ISNUMBER(SEARCH("tpbsu",[1]OUT_TransportEnergyCons!$C$3:$C$1000))*1,[1]OUT_TransportEnergyCons!H$3:H$1000)</f>
        <v>0</v>
      </c>
      <c r="K1350" s="1" cm="1">
        <f t="array" ref="K1350">SUMPRODUCT(("T_B_u-BeVELCEXT"=[1]OUT_TransportEnergyCons!$A$3:$A$1000)*1,("var_fout"=[1]OUT_TransportEnergyCons!$B$3:$B$1000)*1,ISNUMBER(SEARCH("tpbsu",[1]OUT_TransportEnergyCons!$C$3:$C$1000))*1,[1]OUT_TransportEnergyCons!I$3:I$1000)</f>
        <v>0</v>
      </c>
    </row>
    <row r="1351" spans="2:11" x14ac:dyDescent="0.35">
      <c r="B1351" s="5" t="str">
        <f t="shared" si="800"/>
        <v>SPS4</v>
      </c>
      <c r="C1351" s="5" t="str">
        <f t="shared" ref="C1351:C1372" si="809">C1350</f>
        <v>CH</v>
      </c>
      <c r="D1351" t="s">
        <v>1351</v>
      </c>
      <c r="E1351" t="str">
        <f t="shared" ref="E1351:E1372" si="810">E1350</f>
        <v>billion km/yr.</v>
      </c>
      <c r="F1351" s="1" cm="1">
        <f t="array" ref="F1351">SUMPRODUCT(("T_B_u-BEVELC-S1"=[1]OUT_TransportEnergyCons!$A$3:$A$1000)*1,("var_fout"=[1]OUT_TransportEnergyCons!$B$3:$B$1000)*1,ISNUMBER(SEARCH("tpbsu",[1]OUT_TransportEnergyCons!$C$3:$C$1000))*1,[1]OUT_TransportEnergyCons!D$3:D$1000)</f>
        <v>1.329551657402636E-7</v>
      </c>
      <c r="G1351" s="1" cm="1">
        <f t="array" ref="G1351">SUMPRODUCT(("T_B_u-BEVELC-S1"=[1]OUT_TransportEnergyCons!$A$3:$A$1000)*1,("var_fout"=[1]OUT_TransportEnergyCons!$B$3:$B$1000)*1,ISNUMBER(SEARCH("tpbsu",[1]OUT_TransportEnergyCons!$C$3:$C$1000))*1,[1]OUT_TransportEnergyCons!E$3:E$1000)</f>
        <v>2.7913683516039085E-4</v>
      </c>
      <c r="H1351" s="1" cm="1">
        <f t="array" ref="H1351">SUMPRODUCT(("T_B_u-BEVELC-S1"=[1]OUT_TransportEnergyCons!$A$3:$A$1000)*1,("var_fout"=[1]OUT_TransportEnergyCons!$B$3:$B$1000)*1,ISNUMBER(SEARCH("tpbsu",[1]OUT_TransportEnergyCons!$C$3:$C$1000))*1,[1]OUT_TransportEnergyCons!F$3:F$1000)</f>
        <v>6.5418864035827638E-4</v>
      </c>
      <c r="I1351" s="1" cm="1">
        <f t="array" ref="I1351">SUMPRODUCT(("T_B_u-BEVELC-S1"=[1]OUT_TransportEnergyCons!$A$3:$A$1000)*1,("var_fout"=[1]OUT_TransportEnergyCons!$B$3:$B$1000)*1,ISNUMBER(SEARCH("tpbsu",[1]OUT_TransportEnergyCons!$C$3:$C$1000))*1,[1]OUT_TransportEnergyCons!G$3:G$1000)</f>
        <v>0.10979130030982233</v>
      </c>
      <c r="J1351" s="1" cm="1">
        <f t="array" ref="J1351">SUMPRODUCT(("T_B_u-BEVELC-S1"=[1]OUT_TransportEnergyCons!$A$3:$A$1000)*1,("var_fout"=[1]OUT_TransportEnergyCons!$B$3:$B$1000)*1,ISNUMBER(SEARCH("tpbsu",[1]OUT_TransportEnergyCons!$C$3:$C$1000))*1,[1]OUT_TransportEnergyCons!H$3:H$1000)</f>
        <v>0.11936060028554067</v>
      </c>
      <c r="K1351" s="1" cm="1">
        <f t="array" ref="K1351">SUMPRODUCT(("T_B_u-BEVELC-S1"=[1]OUT_TransportEnergyCons!$A$3:$A$1000)*1,("var_fout"=[1]OUT_TransportEnergyCons!$B$3:$B$1000)*1,ISNUMBER(SEARCH("tpbsu",[1]OUT_TransportEnergyCons!$C$3:$C$1000))*1,[1]OUT_TransportEnergyCons!I$3:I$1000)</f>
        <v>0.12774088716297846</v>
      </c>
    </row>
    <row r="1352" spans="2:11" x14ac:dyDescent="0.35">
      <c r="B1352" s="5" t="str">
        <f t="shared" si="800"/>
        <v>SPS4</v>
      </c>
      <c r="C1352" s="5" t="str">
        <f t="shared" si="809"/>
        <v>CH</v>
      </c>
      <c r="D1352" t="s">
        <v>1352</v>
      </c>
      <c r="E1352" t="str">
        <f t="shared" si="810"/>
        <v>billion km/yr.</v>
      </c>
      <c r="F1352" s="1" cm="1">
        <f t="array" ref="F1352">SUMPRODUCT(("T_B_u-BEVELC-S2"=[1]OUT_TransportEnergyCons!$A$3:$A$1000)*1,("var_fout"=[1]OUT_TransportEnergyCons!$B$3:$B$1000)*1,ISNUMBER(SEARCH("tpbsu",[1]OUT_TransportEnergyCons!$C$3:$C$1000))*1,[1]OUT_TransportEnergyCons!D$3:D$1000)</f>
        <v>2.7563184038618418E-4</v>
      </c>
      <c r="G1352" s="1" cm="1">
        <f t="array" ref="G1352">SUMPRODUCT(("T_B_u-BEVELC-S2"=[1]OUT_TransportEnergyCons!$A$3:$A$1000)*1,("var_fout"=[1]OUT_TransportEnergyCons!$B$3:$B$1000)*1,ISNUMBER(SEARCH("tpbsu",[1]OUT_TransportEnergyCons!$C$3:$C$1000))*1,[1]OUT_TransportEnergyCons!E$3:E$1000)</f>
        <v>4.7187503552847314E-4</v>
      </c>
      <c r="H1352" s="1" cm="1">
        <f t="array" ref="H1352">SUMPRODUCT(("T_B_u-BEVELC-S2"=[1]OUT_TransportEnergyCons!$A$3:$A$1000)*1,("var_fout"=[1]OUT_TransportEnergyCons!$B$3:$B$1000)*1,ISNUMBER(SEARCH("tpbsu",[1]OUT_TransportEnergyCons!$C$3:$C$1000))*1,[1]OUT_TransportEnergyCons!F$3:F$1000)</f>
        <v>7.5690476019534187E-4</v>
      </c>
      <c r="I1352" s="1" cm="1">
        <f t="array" ref="I1352">SUMPRODUCT(("T_B_u-BEVELC-S2"=[1]OUT_TransportEnergyCons!$A$3:$A$1000)*1,("var_fout"=[1]OUT_TransportEnergyCons!$B$3:$B$1000)*1,ISNUMBER(SEARCH("tpbsu",[1]OUT_TransportEnergyCons!$C$3:$C$1000))*1,[1]OUT_TransportEnergyCons!G$3:G$1000)</f>
        <v>3.9591308069448598E-2</v>
      </c>
      <c r="J1352" s="1" cm="1">
        <f t="array" ref="J1352">SUMPRODUCT(("T_B_u-BEVELC-S2"=[1]OUT_TransportEnergyCons!$A$3:$A$1000)*1,("var_fout"=[1]OUT_TransportEnergyCons!$B$3:$B$1000)*1,ISNUMBER(SEARCH("tpbsu",[1]OUT_TransportEnergyCons!$C$3:$C$1000))*1,[1]OUT_TransportEnergyCons!H$3:H$1000)</f>
        <v>4.3031272664453106E-2</v>
      </c>
      <c r="K1352" s="1" cm="1">
        <f t="array" ref="K1352">SUMPRODUCT(("T_B_u-BEVELC-S2"=[1]OUT_TransportEnergyCons!$A$3:$A$1000)*1,("var_fout"=[1]OUT_TransportEnergyCons!$B$3:$B$1000)*1,ISNUMBER(SEARCH("tpbsu",[1]OUT_TransportEnergyCons!$C$3:$C$1000))*1,[1]OUT_TransportEnergyCons!I$3:I$1000)</f>
        <v>4.6070539792932352E-2</v>
      </c>
    </row>
    <row r="1353" spans="2:11" x14ac:dyDescent="0.35">
      <c r="B1353" s="5" t="str">
        <f t="shared" si="800"/>
        <v>SPS4</v>
      </c>
      <c r="C1353" s="5" t="str">
        <f t="shared" si="809"/>
        <v>CH</v>
      </c>
      <c r="D1353" t="s">
        <v>1353</v>
      </c>
      <c r="E1353" t="str">
        <f t="shared" si="810"/>
        <v>billion km/yr.</v>
      </c>
      <c r="F1353" s="1" cm="1">
        <f t="array" ref="F1353">SUMPRODUCT(("T_B_u-BEVELC-S3"=[1]OUT_TransportEnergyCons!$A$3:$A$1000)*1,("var_fout"=[1]OUT_TransportEnergyCons!$B$3:$B$1000)*1,ISNUMBER(SEARCH("tpbsu",[1]OUT_TransportEnergyCons!$C$3:$C$1000))*1,[1]OUT_TransportEnergyCons!D$3:D$1000)</f>
        <v>6.4397133567005362E-4</v>
      </c>
      <c r="G1353" s="1" cm="1">
        <f t="array" ref="G1353">SUMPRODUCT(("T_B_u-BEVELC-S3"=[1]OUT_TransportEnergyCons!$A$3:$A$1000)*1,("var_fout"=[1]OUT_TransportEnergyCons!$B$3:$B$1000)*1,ISNUMBER(SEARCH("tpbsu",[1]OUT_TransportEnergyCons!$C$3:$C$1000))*1,[1]OUT_TransportEnergyCons!E$3:E$1000)</f>
        <v>8.9474268702272085E-4</v>
      </c>
      <c r="H1353" s="1" cm="1">
        <f t="array" ref="H1353">SUMPRODUCT(("T_B_u-BEVELC-S3"=[1]OUT_TransportEnergyCons!$A$3:$A$1000)*1,("var_fout"=[1]OUT_TransportEnergyCons!$B$3:$B$1000)*1,ISNUMBER(SEARCH("tpbsu",[1]OUT_TransportEnergyCons!$C$3:$C$1000))*1,[1]OUT_TransportEnergyCons!F$3:F$1000)</f>
        <v>9.9303929278598104E-4</v>
      </c>
      <c r="I1353" s="1" cm="1">
        <f t="array" ref="I1353">SUMPRODUCT(("T_B_u-BEVELC-S3"=[1]OUT_TransportEnergyCons!$A$3:$A$1000)*1,("var_fout"=[1]OUT_TransportEnergyCons!$B$3:$B$1000)*1,ISNUMBER(SEARCH("tpbsu",[1]OUT_TransportEnergyCons!$C$3:$C$1000))*1,[1]OUT_TransportEnergyCons!G$3:G$1000)</f>
        <v>9.0924739089199208E-2</v>
      </c>
      <c r="J1353" s="1" cm="1">
        <f t="array" ref="J1353">SUMPRODUCT(("T_B_u-BEVELC-S3"=[1]OUT_TransportEnergyCons!$A$3:$A$1000)*1,("var_fout"=[1]OUT_TransportEnergyCons!$B$3:$B$1000)*1,ISNUMBER(SEARCH("tpbsu",[1]OUT_TransportEnergyCons!$C$3:$C$1000))*1,[1]OUT_TransportEnergyCons!H$3:H$1000)</f>
        <v>7.6460521283616578E-2</v>
      </c>
      <c r="K1353" s="1" cm="1">
        <f t="array" ref="K1353">SUMPRODUCT(("T_B_u-BEVELC-S3"=[1]OUT_TransportEnergyCons!$A$3:$A$1000)*1,("var_fout"=[1]OUT_TransportEnergyCons!$B$3:$B$1000)*1,ISNUMBER(SEARCH("tpbsu",[1]OUT_TransportEnergyCons!$C$3:$C$1000))*1,[1]OUT_TransportEnergyCons!I$3:I$1000)</f>
        <v>5.1438842755446391E-2</v>
      </c>
    </row>
    <row r="1354" spans="2:11" x14ac:dyDescent="0.35">
      <c r="B1354" s="5" t="str">
        <f t="shared" si="800"/>
        <v>SPS4</v>
      </c>
      <c r="C1354" s="5" t="str">
        <f t="shared" si="809"/>
        <v>CH</v>
      </c>
      <c r="D1354" t="s">
        <v>1354</v>
      </c>
      <c r="E1354" t="str">
        <f t="shared" si="810"/>
        <v>billion km/yr.</v>
      </c>
      <c r="F1354" s="1" cm="1">
        <f t="array" ref="F1354">SUMPRODUCT(("T_B_u-BEVELC-S4"=[1]OUT_TransportEnergyCons!$A$3:$A$1000)*1,("var_fout"=[1]OUT_TransportEnergyCons!$B$3:$B$1000)*1,ISNUMBER(SEARCH("tpbsu",[1]OUT_TransportEnergyCons!$C$3:$C$1000))*1,[1]OUT_TransportEnergyCons!D$3:D$1000)</f>
        <v>3.311860234655011E-5</v>
      </c>
      <c r="G1354" s="1" cm="1">
        <f t="array" ref="G1354">SUMPRODUCT(("T_B_u-BEVELC-S4"=[1]OUT_TransportEnergyCons!$A$3:$A$1000)*1,("var_fout"=[1]OUT_TransportEnergyCons!$B$3:$B$1000)*1,ISNUMBER(SEARCH("tpbsu",[1]OUT_TransportEnergyCons!$C$3:$C$1000))*1,[1]OUT_TransportEnergyCons!E$3:E$1000)</f>
        <v>3.0837188836500523E-5</v>
      </c>
      <c r="H1354" s="1" cm="1">
        <f t="array" ref="H1354">SUMPRODUCT(("T_B_u-BEVELC-S4"=[1]OUT_TransportEnergyCons!$A$3:$A$1000)*1,("var_fout"=[1]OUT_TransportEnergyCons!$B$3:$B$1000)*1,ISNUMBER(SEARCH("tpbsu",[1]OUT_TransportEnergyCons!$C$3:$C$1000))*1,[1]OUT_TransportEnergyCons!F$3:F$1000)</f>
        <v>4.3854463189714547E-5</v>
      </c>
      <c r="I1354" s="1" cm="1">
        <f t="array" ref="I1354">SUMPRODUCT(("T_B_u-BEVELC-S4"=[1]OUT_TransportEnergyCons!$A$3:$A$1000)*1,("var_fout"=[1]OUT_TransportEnergyCons!$B$3:$B$1000)*1,ISNUMBER(SEARCH("tpbsu",[1]OUT_TransportEnergyCons!$C$3:$C$1000))*1,[1]OUT_TransportEnergyCons!G$3:G$1000)</f>
        <v>1.4661319195420516E-5</v>
      </c>
      <c r="J1354" s="1" cm="1">
        <f t="array" ref="J1354">SUMPRODUCT(("T_B_u-BEVELC-S4"=[1]OUT_TransportEnergyCons!$A$3:$A$1000)*1,("var_fout"=[1]OUT_TransportEnergyCons!$B$3:$B$1000)*1,ISNUMBER(SEARCH("tpbsu",[1]OUT_TransportEnergyCons!$C$3:$C$1000))*1,[1]OUT_TransportEnergyCons!H$3:H$1000)</f>
        <v>1.8827695679565767E-5</v>
      </c>
      <c r="K1354" s="1" cm="1">
        <f t="array" ref="K1354">SUMPRODUCT(("T_B_u-BEVELC-S4"=[1]OUT_TransportEnergyCons!$A$3:$A$1000)*1,("var_fout"=[1]OUT_TransportEnergyCons!$B$3:$B$1000)*1,ISNUMBER(SEARCH("tpbsu",[1]OUT_TransportEnergyCons!$C$3:$C$1000))*1,[1]OUT_TransportEnergyCons!I$3:I$1000)</f>
        <v>9.448233653454725E-6</v>
      </c>
    </row>
    <row r="1355" spans="2:11" x14ac:dyDescent="0.35">
      <c r="B1355" s="5" t="str">
        <f t="shared" si="800"/>
        <v>SPS4</v>
      </c>
      <c r="C1355" s="5" t="str">
        <f t="shared" si="809"/>
        <v>CH</v>
      </c>
      <c r="D1355" t="s">
        <v>1355</v>
      </c>
      <c r="E1355" t="str">
        <f t="shared" si="810"/>
        <v>billion km/yr.</v>
      </c>
      <c r="F1355" s="1" cm="1">
        <f t="array" ref="F1355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5" s="1" cm="1">
        <f t="array" ref="G1355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5" s="1" cm="1">
        <f t="array" ref="H1355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5" s="1" cm="1">
        <f t="array" ref="I1355">SUMPRODUCT(("T_B_u-FCLH2O-S1"=[1]OUT_TransportEnergyCons!$A$3:$A$1000)*1,("var_fout"=[1]OUT_TransportEnergyCons!$B$3:$B$1000)*1,ISNUMBER(SEARCH("tpbsu",[1]OUT_TransportEnergyCons!$C$3:$C$1000))*1,[1]OUT_TransportEnergyCons!G$3:G$1000)</f>
        <v>1.6385543668145057E-6</v>
      </c>
      <c r="J1355" s="1" cm="1">
        <f t="array" ref="J1355">SUMPRODUCT(("T_B_u-FCLH2O-S1"=[1]OUT_TransportEnergyCons!$A$3:$A$1000)*1,("var_fout"=[1]OUT_TransportEnergyCons!$B$3:$B$1000)*1,ISNUMBER(SEARCH("tpbsu",[1]OUT_TransportEnergyCons!$C$3:$C$1000))*1,[1]OUT_TransportEnergyCons!H$3:H$1000)</f>
        <v>0</v>
      </c>
      <c r="K1355" s="1" cm="1">
        <f t="array" ref="K1355">SUMPRODUCT(("T_B_u-FCLH2O-S1"=[1]OUT_TransportEnergyCons!$A$3:$A$1000)*1,("var_fout"=[1]OUT_TransportEnergyCons!$B$3:$B$1000)*1,ISNUMBER(SEARCH("tpbsu",[1]OUT_TransportEnergyCons!$C$3:$C$1000))*1,[1]OUT_TransportEnergyCons!I$3:I$1000)</f>
        <v>0</v>
      </c>
    </row>
    <row r="1356" spans="2:11" x14ac:dyDescent="0.35">
      <c r="B1356" s="5" t="str">
        <f t="shared" si="800"/>
        <v>SPS4</v>
      </c>
      <c r="C1356" s="5" t="str">
        <f t="shared" si="809"/>
        <v>CH</v>
      </c>
      <c r="D1356" t="s">
        <v>1356</v>
      </c>
      <c r="E1356" t="str">
        <f t="shared" si="810"/>
        <v>billion km/yr.</v>
      </c>
      <c r="F1356" s="1" cm="1">
        <f t="array" ref="F1356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6" s="1" cm="1">
        <f t="array" ref="G1356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6" s="1" cm="1">
        <f t="array" ref="H1356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6" s="1" cm="1">
        <f t="array" ref="I1356">SUMPRODUCT(("T_B_u-FCLH2O-S2"=[1]OUT_TransportEnergyCons!$A$3:$A$1000)*1,("var_fout"=[1]OUT_TransportEnergyCons!$B$3:$B$1000)*1,ISNUMBER(SEARCH("tpbsu",[1]OUT_TransportEnergyCons!$C$3:$C$1000))*1,[1]OUT_TransportEnergyCons!G$3:G$1000)</f>
        <v>4.4070970677839578E-7</v>
      </c>
      <c r="J1356" s="1" cm="1">
        <f t="array" ref="J1356">SUMPRODUCT(("T_B_u-FCLH2O-S2"=[1]OUT_TransportEnergyCons!$A$3:$A$1000)*1,("var_fout"=[1]OUT_TransportEnergyCons!$B$3:$B$1000)*1,ISNUMBER(SEARCH("tpbsu",[1]OUT_TransportEnergyCons!$C$3:$C$1000))*1,[1]OUT_TransportEnergyCons!H$3:H$1000)</f>
        <v>0</v>
      </c>
      <c r="K1356" s="1" cm="1">
        <f t="array" ref="K1356">SUMPRODUCT(("T_B_u-FCLH2O-S2"=[1]OUT_TransportEnergyCons!$A$3:$A$1000)*1,("var_fout"=[1]OUT_TransportEnergyCons!$B$3:$B$1000)*1,ISNUMBER(SEARCH("tpbsu",[1]OUT_TransportEnergyCons!$C$3:$C$1000))*1,[1]OUT_TransportEnergyCons!I$3:I$1000)</f>
        <v>0</v>
      </c>
    </row>
    <row r="1357" spans="2:11" x14ac:dyDescent="0.35">
      <c r="B1357" s="5" t="str">
        <f t="shared" si="800"/>
        <v>SPS4</v>
      </c>
      <c r="C1357" s="5" t="str">
        <f t="shared" si="809"/>
        <v>CH</v>
      </c>
      <c r="D1357" t="s">
        <v>1357</v>
      </c>
      <c r="E1357" t="str">
        <f t="shared" si="810"/>
        <v>billion km/yr.</v>
      </c>
      <c r="F1357" s="1" cm="1">
        <f t="array" ref="F1357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SUMPRODUCT(("T_B_u-FCLH2O-S3"=[1]OUT_TransportEnergyCons!$A$3:$A$1000)*1,("var_fout"=[1]OUT_TransportEnergyCons!$B$3:$B$1000)*1,ISNUMBER(SEARCH("tpbsu",[1]OUT_TransportEnergyCons!$C$3:$C$1000))*1,[1]OUT_TransportEnergyCons!G$3:G$1000)</f>
        <v>1.2783136785654633E-6</v>
      </c>
      <c r="J1357" s="1" cm="1">
        <f t="array" ref="J1357">SUMPRODUCT(("T_B_u-FCLH2O-S3"=[1]OUT_TransportEnergyCons!$A$3:$A$1000)*1,("var_fout"=[1]OUT_TransportEnergyCons!$B$3:$B$1000)*1,ISNUMBER(SEARCH("tpbsu",[1]OUT_TransportEnergyCons!$C$3:$C$1000))*1,[1]OUT_TransportEnergyCons!H$3:H$1000)</f>
        <v>0</v>
      </c>
      <c r="K1357" s="1" cm="1">
        <f t="array" ref="K1357">SUMPRODUCT(("T_B_u-FCLH2O-S3"=[1]OUT_TransportEnergyCons!$A$3:$A$1000)*1,("var_fout"=[1]OUT_TransportEnergyCons!$B$3:$B$1000)*1,ISNUMBER(SEARCH("tpbsu",[1]OUT_TransportEnergyCons!$C$3:$C$1000))*1,[1]OUT_TransportEnergyCons!I$3:I$1000)</f>
        <v>4.6332024064940303E-7</v>
      </c>
    </row>
    <row r="1358" spans="2:11" x14ac:dyDescent="0.35">
      <c r="B1358" s="5" t="str">
        <f t="shared" si="800"/>
        <v>SPS4</v>
      </c>
      <c r="C1358" s="5" t="str">
        <f t="shared" si="809"/>
        <v>CH</v>
      </c>
      <c r="D1358" t="s">
        <v>1358</v>
      </c>
      <c r="E1358" t="str">
        <f t="shared" si="810"/>
        <v>billion km/yr.</v>
      </c>
      <c r="F1358" s="1" cm="1">
        <f t="array" ref="F1358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58" s="1" cm="1">
        <f t="array" ref="J1358">SUMPRODUCT(("T_B_u-FCLH2O-S4"=[1]OUT_TransportEnergyCons!$A$3:$A$1000)*1,("var_fout"=[1]OUT_TransportEnergyCons!$B$3:$B$1000)*1,ISNUMBER(SEARCH("tpbsu",[1]OUT_TransportEnergyCons!$C$3:$C$1000))*1,[1]OUT_TransportEnergyCons!H$3:H$1000)</f>
        <v>0</v>
      </c>
      <c r="K1358" s="1" cm="1">
        <f t="array" ref="K1358">SUMPRODUCT(("T_B_u-FCLH2O-S4"=[1]OUT_TransportEnergyCons!$A$3:$A$1000)*1,("var_fout"=[1]OUT_TransportEnergyCons!$B$3:$B$1000)*1,ISNUMBER(SEARCH("tpbsu",[1]OUT_TransportEnergyCons!$C$3:$C$1000))*1,[1]OUT_TransportEnergyCons!I$3:I$1000)</f>
        <v>0</v>
      </c>
    </row>
    <row r="1359" spans="2:11" x14ac:dyDescent="0.35">
      <c r="B1359" s="5" t="str">
        <f t="shared" si="800"/>
        <v>SPS4</v>
      </c>
      <c r="C1359" s="5" t="str">
        <f t="shared" si="809"/>
        <v>CH</v>
      </c>
      <c r="D1359" t="s">
        <v>1359</v>
      </c>
      <c r="E1359" t="str">
        <f t="shared" si="810"/>
        <v>billion km/yr.</v>
      </c>
      <c r="F1359" s="1" cm="1">
        <f t="array" ref="F1359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SUMPRODUCT(("T_B_u-HYBDSL-S1"=[1]OUT_TransportEnergyCons!$A$3:$A$1000)*1,("var_fout"=[1]OUT_TransportEnergyCons!$B$3:$B$1000)*1,ISNUMBER(SEARCH("tpbsu",[1]OUT_TransportEnergyCons!$C$3:$C$1000))*1,[1]OUT_TransportEnergyCons!E$3:E$1000)</f>
        <v>6.8515576252606715E-4</v>
      </c>
      <c r="H1359" s="1" cm="1">
        <f t="array" ref="H1359">SUMPRODUCT(("T_B_u-HYBDSL-S1"=[1]OUT_TransportEnergyCons!$A$3:$A$1000)*1,("var_fout"=[1]OUT_TransportEnergyCons!$B$3:$B$1000)*1,ISNUMBER(SEARCH("tpbsu",[1]OUT_TransportEnergyCons!$C$3:$C$1000))*1,[1]OUT_TransportEnergyCons!F$3:F$1000)</f>
        <v>7.540807970892586E-4</v>
      </c>
      <c r="I1359" s="1" cm="1">
        <f t="array" ref="I1359">SUMPRODUCT(("T_B_u-HYBDSL-S1"=[1]OUT_TransportEnergyCons!$A$3:$A$1000)*1,("var_fout"=[1]OUT_TransportEnergyCons!$B$3:$B$1000)*1,ISNUMBER(SEARCH("tpbsu",[1]OUT_TransportEnergyCons!$C$3:$C$1000))*1,[1]OUT_TransportEnergyCons!G$3:G$1000)</f>
        <v>4.995902299531255E-5</v>
      </c>
      <c r="J1359" s="1" cm="1">
        <f t="array" ref="J1359">SUMPRODUCT(("T_B_u-HYBDSL-S1"=[1]OUT_TransportEnergyCons!$A$3:$A$1000)*1,("var_fout"=[1]OUT_TransportEnergyCons!$B$3:$B$1000)*1,ISNUMBER(SEARCH("tpbsu",[1]OUT_TransportEnergyCons!$C$3:$C$1000))*1,[1]OUT_TransportEnergyCons!H$3:H$1000)</f>
        <v>1.562824558726596E-4</v>
      </c>
      <c r="K1359" s="1" cm="1">
        <f t="array" ref="K1359">SUMPRODUCT(("T_B_u-HYBDSL-S1"=[1]OUT_TransportEnergyCons!$A$3:$A$1000)*1,("var_fout"=[1]OUT_TransportEnergyCons!$B$3:$B$1000)*1,ISNUMBER(SEARCH("tpbsu",[1]OUT_TransportEnergyCons!$C$3:$C$1000))*1,[1]OUT_TransportEnergyCons!I$3:I$1000)</f>
        <v>1.2256192583736091E-4</v>
      </c>
    </row>
    <row r="1360" spans="2:11" x14ac:dyDescent="0.35">
      <c r="B1360" s="5" t="str">
        <f t="shared" si="800"/>
        <v>SPS4</v>
      </c>
      <c r="C1360" s="5" t="str">
        <f t="shared" si="809"/>
        <v>CH</v>
      </c>
      <c r="D1360" t="s">
        <v>1360</v>
      </c>
      <c r="E1360" t="str">
        <f t="shared" si="810"/>
        <v>billion km/yr.</v>
      </c>
      <c r="F1360" s="1" cm="1">
        <f t="array" ref="F1360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SUMPRODUCT(("T_B_u-HYBDSL-S2"=[1]OUT_TransportEnergyCons!$A$3:$A$1000)*1,("var_fout"=[1]OUT_TransportEnergyCons!$B$3:$B$1000)*1,ISNUMBER(SEARCH("tpbsu",[1]OUT_TransportEnergyCons!$C$3:$C$1000))*1,[1]OUT_TransportEnergyCons!E$3:E$1000)</f>
        <v>5.2210853524393683E-5</v>
      </c>
      <c r="H1360" s="1" cm="1">
        <f t="array" ref="H1360">SUMPRODUCT(("T_B_u-HYBDSL-S2"=[1]OUT_TransportEnergyCons!$A$3:$A$1000)*1,("var_fout"=[1]OUT_TransportEnergyCons!$B$3:$B$1000)*1,ISNUMBER(SEARCH("tpbsu",[1]OUT_TransportEnergyCons!$C$3:$C$1000))*1,[1]OUT_TransportEnergyCons!F$3:F$1000)</f>
        <v>8.3236547251854063E-5</v>
      </c>
      <c r="I1360" s="1" cm="1">
        <f t="array" ref="I1360">SUMPRODUCT(("T_B_u-HYBDSL-S2"=[1]OUT_TransportEnergyCons!$A$3:$A$1000)*1,("var_fout"=[1]OUT_TransportEnergyCons!$B$3:$B$1000)*1,ISNUMBER(SEARCH("tpbsu",[1]OUT_TransportEnergyCons!$C$3:$C$1000))*1,[1]OUT_TransportEnergyCons!G$3:G$1000)</f>
        <v>5.8799246333660336E-5</v>
      </c>
      <c r="J1360" s="1" cm="1">
        <f t="array" ref="J1360">SUMPRODUCT(("T_B_u-HYBDSL-S2"=[1]OUT_TransportEnergyCons!$A$3:$A$1000)*1,("var_fout"=[1]OUT_TransportEnergyCons!$B$3:$B$1000)*1,ISNUMBER(SEARCH("tpbsu",[1]OUT_TransportEnergyCons!$C$3:$C$1000))*1,[1]OUT_TransportEnergyCons!H$3:H$1000)</f>
        <v>1.0830170656150735E-4</v>
      </c>
      <c r="K1360" s="1" cm="1">
        <f t="array" ref="K1360">SUMPRODUCT(("T_B_u-HYBDSL-S2"=[1]OUT_TransportEnergyCons!$A$3:$A$1000)*1,("var_fout"=[1]OUT_TransportEnergyCons!$B$3:$B$1000)*1,ISNUMBER(SEARCH("tpbsu",[1]OUT_TransportEnergyCons!$C$3:$C$1000))*1,[1]OUT_TransportEnergyCons!I$3:I$1000)</f>
        <v>7.739626270716413E-5</v>
      </c>
    </row>
    <row r="1361" spans="2:11" x14ac:dyDescent="0.35">
      <c r="B1361" s="5" t="str">
        <f t="shared" si="800"/>
        <v>SPS4</v>
      </c>
      <c r="C1361" s="5" t="str">
        <f t="shared" si="809"/>
        <v>CH</v>
      </c>
      <c r="D1361" t="s">
        <v>1361</v>
      </c>
      <c r="E1361" t="str">
        <f t="shared" si="810"/>
        <v>billion km/yr.</v>
      </c>
      <c r="F1361" s="1" cm="1">
        <f t="array" ref="F1361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SUMPRODUCT(("T_B_u-HYBDSL-S3"=[1]OUT_TransportEnergyCons!$A$3:$A$1000)*1,("var_fout"=[1]OUT_TransportEnergyCons!$B$3:$B$1000)*1,ISNUMBER(SEARCH("tpbsu",[1]OUT_TransportEnergyCons!$C$3:$C$1000))*1,[1]OUT_TransportEnergyCons!E$3:E$1000)</f>
        <v>3.3732234443332905E-3</v>
      </c>
      <c r="H1361" s="1" cm="1">
        <f t="array" ref="H1361">SUMPRODUCT(("T_B_u-HYBDSL-S3"=[1]OUT_TransportEnergyCons!$A$3:$A$1000)*1,("var_fout"=[1]OUT_TransportEnergyCons!$B$3:$B$1000)*1,ISNUMBER(SEARCH("tpbsu",[1]OUT_TransportEnergyCons!$C$3:$C$1000))*1,[1]OUT_TransportEnergyCons!F$3:F$1000)</f>
        <v>4.7532061029725015E-2</v>
      </c>
      <c r="I1361" s="1" cm="1">
        <f t="array" ref="I1361">SUMPRODUCT(("T_B_u-HYBDSL-S3"=[1]OUT_TransportEnergyCons!$A$3:$A$1000)*1,("var_fout"=[1]OUT_TransportEnergyCons!$B$3:$B$1000)*1,ISNUMBER(SEARCH("tpbsu",[1]OUT_TransportEnergyCons!$C$3:$C$1000))*1,[1]OUT_TransportEnergyCons!G$3:G$1000)</f>
        <v>8.2361683436514954E-2</v>
      </c>
      <c r="J1361" s="1" cm="1">
        <f t="array" ref="J1361">SUMPRODUCT(("T_B_u-HYBDSL-S3"=[1]OUT_TransportEnergyCons!$A$3:$A$1000)*1,("var_fout"=[1]OUT_TransportEnergyCons!$B$3:$B$1000)*1,ISNUMBER(SEARCH("tpbsu",[1]OUT_TransportEnergyCons!$C$3:$C$1000))*1,[1]OUT_TransportEnergyCons!H$3:H$1000)</f>
        <v>0.11207564878104188</v>
      </c>
      <c r="K1361" s="1" cm="1">
        <f t="array" ref="K1361">SUMPRODUCT(("T_B_u-HYBDSL-S3"=[1]OUT_TransportEnergyCons!$A$3:$A$1000)*1,("var_fout"=[1]OUT_TransportEnergyCons!$B$3:$B$1000)*1,ISNUMBER(SEARCH("tpbsu",[1]OUT_TransportEnergyCons!$C$3:$C$1000))*1,[1]OUT_TransportEnergyCons!I$3:I$1000)</f>
        <v>0.15024364629927978</v>
      </c>
    </row>
    <row r="1362" spans="2:11" x14ac:dyDescent="0.35">
      <c r="B1362" s="5" t="str">
        <f t="shared" si="800"/>
        <v>SPS4</v>
      </c>
      <c r="C1362" s="5" t="str">
        <f t="shared" si="809"/>
        <v>CH</v>
      </c>
      <c r="D1362" t="s">
        <v>1362</v>
      </c>
      <c r="E1362" t="str">
        <f t="shared" si="810"/>
        <v>billion km/yr.</v>
      </c>
      <c r="F1362" s="1" cm="1">
        <f t="array" ref="F1362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SUMPRODUCT(("T_B_u-HYBDSL-S4"=[1]OUT_TransportEnergyCons!$A$3:$A$1000)*1,("var_fout"=[1]OUT_TransportEnergyCons!$B$3:$B$1000)*1,ISNUMBER(SEARCH("tpbsu",[1]OUT_TransportEnergyCons!$C$3:$C$1000))*1,[1]OUT_TransportEnergyCons!E$3:E$1000)</f>
        <v>6.2406702390763E-7</v>
      </c>
      <c r="H1362" s="1" cm="1">
        <f t="array" ref="H1362">SUMPRODUCT(("T_B_u-HYBDSL-S4"=[1]OUT_TransportEnergyCons!$A$3:$A$1000)*1,("var_fout"=[1]OUT_TransportEnergyCons!$B$3:$B$1000)*1,ISNUMBER(SEARCH("tpbsu",[1]OUT_TransportEnergyCons!$C$3:$C$1000))*1,[1]OUT_TransportEnergyCons!F$3:F$1000)</f>
        <v>1.4940088475217285E-6</v>
      </c>
      <c r="I1362" s="1" cm="1">
        <f t="array" ref="I1362">SUMPRODUCT(("T_B_u-HYBDSL-S4"=[1]OUT_TransportEnergyCons!$A$3:$A$1000)*1,("var_fout"=[1]OUT_TransportEnergyCons!$B$3:$B$1000)*1,ISNUMBER(SEARCH("tpbsu",[1]OUT_TransportEnergyCons!$C$3:$C$1000))*1,[1]OUT_TransportEnergyCons!G$3:G$1000)</f>
        <v>6.8569459253936943E-7</v>
      </c>
      <c r="J1362" s="1" cm="1">
        <f t="array" ref="J1362">SUMPRODUCT(("T_B_u-HYBDSL-S4"=[1]OUT_TransportEnergyCons!$A$3:$A$1000)*1,("var_fout"=[1]OUT_TransportEnergyCons!$B$3:$B$1000)*1,ISNUMBER(SEARCH("tpbsu",[1]OUT_TransportEnergyCons!$C$3:$C$1000))*1,[1]OUT_TransportEnergyCons!H$3:H$1000)</f>
        <v>1.9261186158458259E-6</v>
      </c>
      <c r="K1362" s="1" cm="1">
        <f t="array" ref="K1362">SUMPRODUCT(("T_B_u-HYBDSL-S4"=[1]OUT_TransportEnergyCons!$A$3:$A$1000)*1,("var_fout"=[1]OUT_TransportEnergyCons!$B$3:$B$1000)*1,ISNUMBER(SEARCH("tpbsu",[1]OUT_TransportEnergyCons!$C$3:$C$1000))*1,[1]OUT_TransportEnergyCons!I$3:I$1000)</f>
        <v>4.6013160017337098E-8</v>
      </c>
    </row>
    <row r="1363" spans="2:11" x14ac:dyDescent="0.35">
      <c r="B1363" s="5" t="str">
        <f t="shared" si="800"/>
        <v>SPS4</v>
      </c>
      <c r="C1363" s="5" t="str">
        <f t="shared" si="809"/>
        <v>CH</v>
      </c>
      <c r="D1363" t="s">
        <v>2002</v>
      </c>
      <c r="E1363" t="str">
        <f t="shared" si="810"/>
        <v>billion km/yr.</v>
      </c>
      <c r="F1363" s="1" cm="1">
        <f t="array" ref="F1363">SUMPRODUCT(("T_B_u-ICEDSLEXT"=[1]OUT_TransportEnergyCons!$A$3:$A$1000)*1,("var_fout"=[1]OUT_TransportEnergyCons!$B$3:$B$1000)*1,ISNUMBER(SEARCH("tpbsu",[1]OUT_TransportEnergyCons!$C$3:$C$1000))*1,[1]OUT_TransportEnergyCons!D$3:D$1000)</f>
        <v>0.24219576950141591</v>
      </c>
      <c r="G1363" s="1" cm="1">
        <f t="array" ref="G1363">SUMPRODUCT(("T_B_u-ICEDSLEXT"=[1]OUT_TransportEnergyCons!$A$3:$A$1000)*1,("var_fout"=[1]OUT_TransportEnergyCons!$B$3:$B$1000)*1,ISNUMBER(SEARCH("tpbsu",[1]OUT_TransportEnergyCons!$C$3:$C$1000))*1,[1]OUT_TransportEnergyCons!E$3:E$1000)</f>
        <v>0.19378503446869511</v>
      </c>
      <c r="H1363" s="1" cm="1">
        <f t="array" ref="H1363">SUMPRODUCT(("T_B_u-ICEDSLEXT"=[1]OUT_TransportEnergyCons!$A$3:$A$1000)*1,("var_fout"=[1]OUT_TransportEnergyCons!$B$3:$B$1000)*1,ISNUMBER(SEARCH("tpbsu",[1]OUT_TransportEnergyCons!$C$3:$C$1000))*1,[1]OUT_TransportEnergyCons!F$3:F$1000)</f>
        <v>0.12111449049140068</v>
      </c>
      <c r="I1363" s="1" cm="1">
        <f t="array" ref="I1363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3" s="1" cm="1">
        <f t="array" ref="J1363">SUMPRODUCT(("T_B_u-ICEDSLEXT"=[1]OUT_TransportEnergyCons!$A$3:$A$1000)*1,("var_fout"=[1]OUT_TransportEnergyCons!$B$3:$B$1000)*1,ISNUMBER(SEARCH("tpbsu",[1]OUT_TransportEnergyCons!$C$3:$C$1000))*1,[1]OUT_TransportEnergyCons!H$3:H$1000)</f>
        <v>0</v>
      </c>
      <c r="K1363" s="1" cm="1">
        <f t="array" ref="K1363">SUMPRODUCT(("T_B_u-ICEDSLEXT"=[1]OUT_TransportEnergyCons!$A$3:$A$1000)*1,("var_fout"=[1]OUT_TransportEnergyCons!$B$3:$B$1000)*1,ISNUMBER(SEARCH("tpbsu",[1]OUT_TransportEnergyCons!$C$3:$C$1000))*1,[1]OUT_TransportEnergyCons!I$3:I$1000)</f>
        <v>0</v>
      </c>
    </row>
    <row r="1364" spans="2:11" x14ac:dyDescent="0.35">
      <c r="B1364" s="5" t="str">
        <f t="shared" si="800"/>
        <v>SPS4</v>
      </c>
      <c r="C1364" s="5" t="str">
        <f t="shared" si="809"/>
        <v>CH</v>
      </c>
      <c r="D1364" t="s">
        <v>1363</v>
      </c>
      <c r="E1364" t="str">
        <f t="shared" si="810"/>
        <v>billion km/yr.</v>
      </c>
      <c r="F1364" s="1" cm="1">
        <f t="array" ref="F1364">SUMPRODUCT(("T_B_u-ICEDSL-S1"=[1]OUT_TransportEnergyCons!$A$3:$A$1000)*1,("var_fout"=[1]OUT_TransportEnergyCons!$B$3:$B$1000)*1,ISNUMBER(SEARCH("tpbsu",[1]OUT_TransportEnergyCons!$C$3:$C$1000))*1,[1]OUT_TransportEnergyCons!D$3:D$1000)</f>
        <v>3.5862977146363142E-5</v>
      </c>
      <c r="G1364" s="1" cm="1">
        <f t="array" ref="G1364">SUMPRODUCT(("T_B_u-ICEDSL-S1"=[1]OUT_TransportEnergyCons!$A$3:$A$1000)*1,("var_fout"=[1]OUT_TransportEnergyCons!$B$3:$B$1000)*1,ISNUMBER(SEARCH("tpbsu",[1]OUT_TransportEnergyCons!$C$3:$C$1000))*1,[1]OUT_TransportEnergyCons!E$3:E$1000)</f>
        <v>3.3773962416966861E-2</v>
      </c>
      <c r="H1364" s="1" cm="1">
        <f t="array" ref="H1364">SUMPRODUCT(("T_B_u-ICEDSL-S1"=[1]OUT_TransportEnergyCons!$A$3:$A$1000)*1,("var_fout"=[1]OUT_TransportEnergyCons!$B$3:$B$1000)*1,ISNUMBER(SEARCH("tpbsu",[1]OUT_TransportEnergyCons!$C$3:$C$1000))*1,[1]OUT_TransportEnergyCons!F$3:F$1000)</f>
        <v>6.1275486367579658E-2</v>
      </c>
      <c r="I1364" s="1" cm="1">
        <f t="array" ref="I1364">SUMPRODUCT(("T_B_u-ICEDSL-S1"=[1]OUT_TransportEnergyCons!$A$3:$A$1000)*1,("var_fout"=[1]OUT_TransportEnergyCons!$B$3:$B$1000)*1,ISNUMBER(SEARCH("tpbsu",[1]OUT_TransportEnergyCons!$C$3:$C$1000))*1,[1]OUT_TransportEnergyCons!G$3:G$1000)</f>
        <v>5.3318387956773228E-6</v>
      </c>
      <c r="J1364" s="1" cm="1">
        <f t="array" ref="J1364">SUMPRODUCT(("T_B_u-ICEDSL-S1"=[1]OUT_TransportEnergyCons!$A$3:$A$1000)*1,("var_fout"=[1]OUT_TransportEnergyCons!$B$3:$B$1000)*1,ISNUMBER(SEARCH("tpbsu",[1]OUT_TransportEnergyCons!$C$3:$C$1000))*1,[1]OUT_TransportEnergyCons!H$3:H$1000)</f>
        <v>0</v>
      </c>
      <c r="K1364" s="1" cm="1">
        <f t="array" ref="K1364">SUMPRODUCT(("T_B_u-ICEDSL-S1"=[1]OUT_TransportEnergyCons!$A$3:$A$1000)*1,("var_fout"=[1]OUT_TransportEnergyCons!$B$3:$B$1000)*1,ISNUMBER(SEARCH("tpbsu",[1]OUT_TransportEnergyCons!$C$3:$C$1000))*1,[1]OUT_TransportEnergyCons!I$3:I$1000)</f>
        <v>0</v>
      </c>
    </row>
    <row r="1365" spans="2:11" x14ac:dyDescent="0.35">
      <c r="B1365" s="5" t="str">
        <f t="shared" si="800"/>
        <v>SPS4</v>
      </c>
      <c r="C1365" s="5" t="str">
        <f t="shared" si="809"/>
        <v>CH</v>
      </c>
      <c r="D1365" t="s">
        <v>1364</v>
      </c>
      <c r="E1365" t="str">
        <f t="shared" si="810"/>
        <v>billion km/yr.</v>
      </c>
      <c r="F1365" s="1" cm="1">
        <f t="array" ref="F1365">SUMPRODUCT(("T_B_u-ICEDSL-S2"=[1]OUT_TransportEnergyCons!$A$3:$A$1000)*1,("var_fout"=[1]OUT_TransportEnergyCons!$B$3:$B$1000)*1,ISNUMBER(SEARCH("tpbsu",[1]OUT_TransportEnergyCons!$C$3:$C$1000))*1,[1]OUT_TransportEnergyCons!D$3:D$1000)</f>
        <v>9.5688964593216765E-3</v>
      </c>
      <c r="G1365" s="1" cm="1">
        <f t="array" ref="G1365">SUMPRODUCT(("T_B_u-ICEDSL-S2"=[1]OUT_TransportEnergyCons!$A$3:$A$1000)*1,("var_fout"=[1]OUT_TransportEnergyCons!$B$3:$B$1000)*1,ISNUMBER(SEARCH("tpbsu",[1]OUT_TransportEnergyCons!$C$3:$C$1000))*1,[1]OUT_TransportEnergyCons!E$3:E$1000)</f>
        <v>1.2028376728362607E-2</v>
      </c>
      <c r="H1365" s="1" cm="1">
        <f t="array" ref="H1365">SUMPRODUCT(("T_B_u-ICEDSL-S2"=[1]OUT_TransportEnergyCons!$A$3:$A$1000)*1,("var_fout"=[1]OUT_TransportEnergyCons!$B$3:$B$1000)*1,ISNUMBER(SEARCH("tpbsu",[1]OUT_TransportEnergyCons!$C$3:$C$1000))*1,[1]OUT_TransportEnergyCons!F$3:F$1000)</f>
        <v>2.0326366141913101E-2</v>
      </c>
      <c r="I1365" s="1" cm="1">
        <f t="array" ref="I1365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SUMPRODUCT(("T_B_u-ICEDSL-S2"=[1]OUT_TransportEnergyCons!$A$3:$A$1000)*1,("var_fout"=[1]OUT_TransportEnergyCons!$B$3:$B$1000)*1,ISNUMBER(SEARCH("tpbsu",[1]OUT_TransportEnergyCons!$C$3:$C$1000))*1,[1]OUT_TransportEnergyCons!H$3:H$1000)</f>
        <v>0</v>
      </c>
      <c r="K1365" s="1" cm="1">
        <f t="array" ref="K1365">SUMPRODUCT(("T_B_u-ICEDSL-S2"=[1]OUT_TransportEnergyCons!$A$3:$A$1000)*1,("var_fout"=[1]OUT_TransportEnergyCons!$B$3:$B$1000)*1,ISNUMBER(SEARCH("tpbsu",[1]OUT_TransportEnergyCons!$C$3:$C$1000))*1,[1]OUT_TransportEnergyCons!I$3:I$1000)</f>
        <v>0</v>
      </c>
    </row>
    <row r="1366" spans="2:11" x14ac:dyDescent="0.35">
      <c r="B1366" s="5" t="str">
        <f t="shared" si="800"/>
        <v>SPS4</v>
      </c>
      <c r="C1366" s="5" t="str">
        <f t="shared" si="809"/>
        <v>CH</v>
      </c>
      <c r="D1366" t="s">
        <v>1365</v>
      </c>
      <c r="E1366" t="str">
        <f t="shared" si="810"/>
        <v>billion km/yr.</v>
      </c>
      <c r="F1366" s="1" cm="1">
        <f t="array" ref="F1366">SUMPRODUCT(("T_B_u-ICEDSL-S3"=[1]OUT_TransportEnergyCons!$A$3:$A$1000)*1,("var_fout"=[1]OUT_TransportEnergyCons!$B$3:$B$1000)*1,ISNUMBER(SEARCH("tpbsu",[1]OUT_TransportEnergyCons!$C$3:$C$1000))*1,[1]OUT_TransportEnergyCons!D$3:D$1000)</f>
        <v>3.6138664908289889E-2</v>
      </c>
      <c r="G1366" s="1" cm="1">
        <f t="array" ref="G1366">SUMPRODUCT(("T_B_u-ICEDSL-S3"=[1]OUT_TransportEnergyCons!$A$3:$A$1000)*1,("var_fout"=[1]OUT_TransportEnergyCons!$B$3:$B$1000)*1,ISNUMBER(SEARCH("tpbsu",[1]OUT_TransportEnergyCons!$C$3:$C$1000))*1,[1]OUT_TransportEnergyCons!E$3:E$1000)</f>
        <v>5.0609233408714101E-2</v>
      </c>
      <c r="H1366" s="1" cm="1">
        <f t="array" ref="H1366">SUMPRODUCT(("T_B_u-ICEDSL-S3"=[1]OUT_TransportEnergyCons!$A$3:$A$1000)*1,("var_fout"=[1]OUT_TransportEnergyCons!$B$3:$B$1000)*1,ISNUMBER(SEARCH("tpbsu",[1]OUT_TransportEnergyCons!$C$3:$C$1000))*1,[1]OUT_TransportEnergyCons!F$3:F$1000)</f>
        <v>5.0647700021005819E-2</v>
      </c>
      <c r="I1366" s="1" cm="1">
        <f t="array" ref="I1366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6" s="1" cm="1">
        <f t="array" ref="J1366">SUMPRODUCT(("T_B_u-ICEDSL-S3"=[1]OUT_TransportEnergyCons!$A$3:$A$1000)*1,("var_fout"=[1]OUT_TransportEnergyCons!$B$3:$B$1000)*1,ISNUMBER(SEARCH("tpbsu",[1]OUT_TransportEnergyCons!$C$3:$C$1000))*1,[1]OUT_TransportEnergyCons!H$3:H$1000)</f>
        <v>0</v>
      </c>
      <c r="K1366" s="1" cm="1">
        <f t="array" ref="K1366">SUMPRODUCT(("T_B_u-ICEDSL-S3"=[1]OUT_TransportEnergyCons!$A$3:$A$1000)*1,("var_fout"=[1]OUT_TransportEnergyCons!$B$3:$B$1000)*1,ISNUMBER(SEARCH("tpbsu",[1]OUT_TransportEnergyCons!$C$3:$C$1000))*1,[1]OUT_TransportEnergyCons!I$3:I$1000)</f>
        <v>0</v>
      </c>
    </row>
    <row r="1367" spans="2:11" x14ac:dyDescent="0.35">
      <c r="B1367" s="5" t="str">
        <f t="shared" si="800"/>
        <v>SPS4</v>
      </c>
      <c r="C1367" s="5" t="str">
        <f t="shared" si="809"/>
        <v>CH</v>
      </c>
      <c r="D1367" t="s">
        <v>1366</v>
      </c>
      <c r="E1367" t="str">
        <f t="shared" si="810"/>
        <v>billion km/yr.</v>
      </c>
      <c r="F1367" s="1" cm="1">
        <f t="array" ref="F1367">SUMPRODUCT(("T_B_u-ICEDSL-S4"=[1]OUT_TransportEnergyCons!$A$3:$A$1000)*1,("var_fout"=[1]OUT_TransportEnergyCons!$B$3:$B$1000)*1,ISNUMBER(SEARCH("tpbsu",[1]OUT_TransportEnergyCons!$C$3:$C$1000))*1,[1]OUT_TransportEnergyCons!D$3:D$1000)</f>
        <v>1.4098263647969851E-4</v>
      </c>
      <c r="G1367" s="1" cm="1">
        <f t="array" ref="G1367">SUMPRODUCT(("T_B_u-ICEDSL-S4"=[1]OUT_TransportEnergyCons!$A$3:$A$1000)*1,("var_fout"=[1]OUT_TransportEnergyCons!$B$3:$B$1000)*1,ISNUMBER(SEARCH("tpbsu",[1]OUT_TransportEnergyCons!$C$3:$C$1000))*1,[1]OUT_TransportEnergyCons!E$3:E$1000)</f>
        <v>3.1612953142669821E-6</v>
      </c>
      <c r="H1367" s="1" cm="1">
        <f t="array" ref="H1367">SUMPRODUCT(("T_B_u-ICEDSL-S4"=[1]OUT_TransportEnergyCons!$A$3:$A$1000)*1,("var_fout"=[1]OUT_TransportEnergyCons!$B$3:$B$1000)*1,ISNUMBER(SEARCH("tpbsu",[1]OUT_TransportEnergyCons!$C$3:$C$1000))*1,[1]OUT_TransportEnergyCons!F$3:F$1000)</f>
        <v>1.0082209293719277E-5</v>
      </c>
      <c r="I1367" s="1" cm="1">
        <f t="array" ref="I1367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SUMPRODUCT(("T_B_u-ICEDSL-S4"=[1]OUT_TransportEnergyCons!$A$3:$A$1000)*1,("var_fout"=[1]OUT_TransportEnergyCons!$B$3:$B$1000)*1,ISNUMBER(SEARCH("tpbsu",[1]OUT_TransportEnergyCons!$C$3:$C$1000))*1,[1]OUT_TransportEnergyCons!H$3:H$1000)</f>
        <v>0</v>
      </c>
      <c r="K1367" s="1" cm="1">
        <f t="array" ref="K1367">SUMPRODUCT(("T_B_u-ICEDSL-S4"=[1]OUT_TransportEnergyCons!$A$3:$A$1000)*1,("var_fout"=[1]OUT_TransportEnergyCons!$B$3:$B$1000)*1,ISNUMBER(SEARCH("tpbsu",[1]OUT_TransportEnergyCons!$C$3:$C$1000))*1,[1]OUT_TransportEnergyCons!I$3:I$1000)</f>
        <v>0</v>
      </c>
    </row>
    <row r="1368" spans="2:11" x14ac:dyDescent="0.35">
      <c r="B1368" s="5" t="str">
        <f t="shared" si="800"/>
        <v>SPS4</v>
      </c>
      <c r="C1368" s="5" t="str">
        <f t="shared" si="809"/>
        <v>CH</v>
      </c>
      <c r="D1368" t="s">
        <v>2006</v>
      </c>
      <c r="E1368" t="str">
        <f t="shared" si="810"/>
        <v>billion km/yr.</v>
      </c>
      <c r="F1368" s="1" cm="1">
        <f t="array" ref="F1368">SUMPRODUCT(("T_B_u-ICEngaEXT"=[1]OUT_TransportEnergyCons!$A$3:$A$1000)*1,("var_fout"=[1]OUT_TransportEnergyCons!$B$3:$B$1000)*1,ISNUMBER(SEARCH("tpbsu",[1]OUT_TransportEnergyCons!$C$3:$C$1000))*1,[1]OUT_TransportEnergyCons!D$3:D$1000)</f>
        <v>4.4136336131839577E-3</v>
      </c>
      <c r="G1368" s="1" cm="1">
        <f t="array" ref="G1368">SUMPRODUCT(("T_B_u-ICEngaEXT"=[1]OUT_TransportEnergyCons!$A$3:$A$1000)*1,("var_fout"=[1]OUT_TransportEnergyCons!$B$3:$B$1000)*1,ISNUMBER(SEARCH("tpbsu",[1]OUT_TransportEnergyCons!$C$3:$C$1000))*1,[1]OUT_TransportEnergyCons!E$3:E$1000)</f>
        <v>3.5512759194559736E-3</v>
      </c>
      <c r="H1368" s="1" cm="1">
        <f t="array" ref="H1368">SUMPRODUCT(("T_B_u-ICEngaEXT"=[1]OUT_TransportEnergyCons!$A$3:$A$1000)*1,("var_fout"=[1]OUT_TransportEnergyCons!$B$3:$B$1000)*1,ISNUMBER(SEARCH("tpbsu",[1]OUT_TransportEnergyCons!$C$3:$C$1000))*1,[1]OUT_TransportEnergyCons!F$3:F$1000)</f>
        <v>2.2191266677810987E-3</v>
      </c>
      <c r="I1368" s="1" cm="1">
        <f t="array" ref="I1368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SUMPRODUCT(("T_B_u-ICEngaEXT"=[1]OUT_TransportEnergyCons!$A$3:$A$1000)*1,("var_fout"=[1]OUT_TransportEnergyCons!$B$3:$B$1000)*1,ISNUMBER(SEARCH("tpbsu",[1]OUT_TransportEnergyCons!$C$3:$C$1000))*1,[1]OUT_TransportEnergyCons!H$3:H$1000)</f>
        <v>0</v>
      </c>
      <c r="K1368" s="1" cm="1">
        <f t="array" ref="K1368">SUMPRODUCT(("T_B_u-ICEngaEXT"=[1]OUT_TransportEnergyCons!$A$3:$A$1000)*1,("var_fout"=[1]OUT_TransportEnergyCons!$B$3:$B$1000)*1,ISNUMBER(SEARCH("tpbsu",[1]OUT_TransportEnergyCons!$C$3:$C$1000))*1,[1]OUT_TransportEnergyCons!I$3:I$1000)</f>
        <v>0</v>
      </c>
    </row>
    <row r="1369" spans="2:11" x14ac:dyDescent="0.35">
      <c r="B1369" s="5" t="str">
        <f t="shared" si="800"/>
        <v>SPS4</v>
      </c>
      <c r="C1369" s="5" t="str">
        <f t="shared" si="809"/>
        <v>CH</v>
      </c>
      <c r="D1369" t="s">
        <v>1367</v>
      </c>
      <c r="E1369" t="str">
        <f t="shared" si="810"/>
        <v>billion km/yr.</v>
      </c>
      <c r="F1369" s="1" cm="1">
        <f t="array" ref="F1369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69" s="1" cm="1">
        <f t="array" ref="G1369">SUMPRODUCT(("T_B_u-ICEnga-S1"=[1]OUT_TransportEnergyCons!$A$3:$A$1000)*1,("var_fout"=[1]OUT_TransportEnergyCons!$B$3:$B$1000)*1,ISNUMBER(SEARCH("tpbsu",[1]OUT_TransportEnergyCons!$C$3:$C$1000))*1,[1]OUT_TransportEnergyCons!E$3:E$1000)</f>
        <v>1.8176920748895561E-5</v>
      </c>
      <c r="H1369" s="1" cm="1">
        <f t="array" ref="H1369">SUMPRODUCT(("T_B_u-ICEnga-S1"=[1]OUT_TransportEnergyCons!$A$3:$A$1000)*1,("var_fout"=[1]OUT_TransportEnergyCons!$B$3:$B$1000)*1,ISNUMBER(SEARCH("tpbsu",[1]OUT_TransportEnergyCons!$C$3:$C$1000))*1,[1]OUT_TransportEnergyCons!F$3:F$1000)</f>
        <v>1.4116392958402044E-4</v>
      </c>
      <c r="I1369" s="1" cm="1">
        <f t="array" ref="I1369">SUMPRODUCT(("T_B_u-ICEnga-S1"=[1]OUT_TransportEnergyCons!$A$3:$A$1000)*1,("var_fout"=[1]OUT_TransportEnergyCons!$B$3:$B$1000)*1,ISNUMBER(SEARCH("tpbsu",[1]OUT_TransportEnergyCons!$C$3:$C$1000))*1,[1]OUT_TransportEnergyCons!G$3:G$1000)</f>
        <v>2.7795793819294438E-7</v>
      </c>
      <c r="J1369" s="1" cm="1">
        <f t="array" ref="J1369">SUMPRODUCT(("T_B_u-ICEnga-S1"=[1]OUT_TransportEnergyCons!$A$3:$A$1000)*1,("var_fout"=[1]OUT_TransportEnergyCons!$B$3:$B$1000)*1,ISNUMBER(SEARCH("tpbsu",[1]OUT_TransportEnergyCons!$C$3:$C$1000))*1,[1]OUT_TransportEnergyCons!H$3:H$1000)</f>
        <v>2.0073332042288548E-7</v>
      </c>
      <c r="K1369" s="1" cm="1">
        <f t="array" ref="K1369">SUMPRODUCT(("T_B_u-ICEnga-S1"=[1]OUT_TransportEnergyCons!$A$3:$A$1000)*1,("var_fout"=[1]OUT_TransportEnergyCons!$B$3:$B$1000)*1,ISNUMBER(SEARCH("tpbsu",[1]OUT_TransportEnergyCons!$C$3:$C$1000))*1,[1]OUT_TransportEnergyCons!I$3:I$1000)</f>
        <v>1.558124458822081E-7</v>
      </c>
    </row>
    <row r="1370" spans="2:11" x14ac:dyDescent="0.35">
      <c r="B1370" s="5" t="str">
        <f t="shared" si="800"/>
        <v>SPS4</v>
      </c>
      <c r="C1370" s="5" t="str">
        <f t="shared" si="809"/>
        <v>CH</v>
      </c>
      <c r="D1370" t="s">
        <v>1368</v>
      </c>
      <c r="E1370" t="str">
        <f t="shared" si="810"/>
        <v>billion km/yr.</v>
      </c>
      <c r="F1370" s="1" cm="1">
        <f t="array" ref="F1370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0" s="1" cm="1">
        <f t="array" ref="G1370">SUMPRODUCT(("T_B_u-ICEnga-S2"=[1]OUT_TransportEnergyCons!$A$3:$A$1000)*1,("var_fout"=[1]OUT_TransportEnergyCons!$B$3:$B$1000)*1,ISNUMBER(SEARCH("tpbsu",[1]OUT_TransportEnergyCons!$C$3:$C$1000))*1,[1]OUT_TransportEnergyCons!E$3:E$1000)</f>
        <v>7.4256951778394178E-6</v>
      </c>
      <c r="H1370" s="1" cm="1">
        <f t="array" ref="H1370">SUMPRODUCT(("T_B_u-ICEnga-S2"=[1]OUT_TransportEnergyCons!$A$3:$A$1000)*1,("var_fout"=[1]OUT_TransportEnergyCons!$B$3:$B$1000)*1,ISNUMBER(SEARCH("tpbsu",[1]OUT_TransportEnergyCons!$C$3:$C$1000))*1,[1]OUT_TransportEnergyCons!F$3:F$1000)</f>
        <v>1.5360323585101769E-3</v>
      </c>
      <c r="I1370" s="1" cm="1">
        <f t="array" ref="I1370">SUMPRODUCT(("T_B_u-ICEnga-S2"=[1]OUT_TransportEnergyCons!$A$3:$A$1000)*1,("var_fout"=[1]OUT_TransportEnergyCons!$B$3:$B$1000)*1,ISNUMBER(SEARCH("tpbsu",[1]OUT_TransportEnergyCons!$C$3:$C$1000))*1,[1]OUT_TransportEnergyCons!G$3:G$1000)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SUMPRODUCT(("T_B_u-ICEnga-S2"=[1]OUT_TransportEnergyCons!$A$3:$A$1000)*1,("var_fout"=[1]OUT_TransportEnergyCons!$B$3:$B$1000)*1,ISNUMBER(SEARCH("tpbsu",[1]OUT_TransportEnergyCons!$C$3:$C$1000))*1,[1]OUT_TransportEnergyCons!H$3:H$1000)</f>
        <v>0</v>
      </c>
      <c r="K1370" s="1" cm="1">
        <f t="array" ref="K1370">SUMPRODUCT(("T_B_u-ICEnga-S2"=[1]OUT_TransportEnergyCons!$A$3:$A$1000)*1,("var_fout"=[1]OUT_TransportEnergyCons!$B$3:$B$1000)*1,ISNUMBER(SEARCH("tpbsu",[1]OUT_TransportEnergyCons!$C$3:$C$1000))*1,[1]OUT_TransportEnergyCons!I$3:I$1000)</f>
        <v>0</v>
      </c>
    </row>
    <row r="1371" spans="2:11" x14ac:dyDescent="0.35">
      <c r="B1371" s="5" t="str">
        <f t="shared" si="800"/>
        <v>SPS4</v>
      </c>
      <c r="C1371" s="5" t="str">
        <f t="shared" si="809"/>
        <v>CH</v>
      </c>
      <c r="D1371" t="s">
        <v>1369</v>
      </c>
      <c r="E1371" t="str">
        <f t="shared" si="810"/>
        <v>billion km/yr.</v>
      </c>
      <c r="F1371" s="1" cm="1">
        <f t="array" ref="F1371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SUMPRODUCT(("T_B_u-ICEnga-S3"=[1]OUT_TransportEnergyCons!$A$3:$A$1000)*1,("var_fout"=[1]OUT_TransportEnergyCons!$B$3:$B$1000)*1,ISNUMBER(SEARCH("tpbsu",[1]OUT_TransportEnergyCons!$C$3:$C$1000))*1,[1]OUT_TransportEnergyCons!E$3:E$1000)</f>
        <v>4.0283988356044092E-6</v>
      </c>
      <c r="H1371" s="1" cm="1">
        <f t="array" ref="H1371">SUMPRODUCT(("T_B_u-ICEnga-S3"=[1]OUT_TransportEnergyCons!$A$3:$A$1000)*1,("var_fout"=[1]OUT_TransportEnergyCons!$B$3:$B$1000)*1,ISNUMBER(SEARCH("tpbsu",[1]OUT_TransportEnergyCons!$C$3:$C$1000))*1,[1]OUT_TransportEnergyCons!F$3:F$1000)</f>
        <v>2.0411001862832305E-5</v>
      </c>
      <c r="I1371" s="1" cm="1">
        <f t="array" ref="I1371">SUMPRODUCT(("T_B_u-ICEnga-S3"=[1]OUT_TransportEnergyCons!$A$3:$A$1000)*1,("var_fout"=[1]OUT_TransportEnergyCons!$B$3:$B$1000)*1,ISNUMBER(SEARCH("tpbsu",[1]OUT_TransportEnergyCons!$C$3:$C$1000))*1,[1]OUT_TransportEnergyCons!G$3:G$1000)</f>
        <v>0</v>
      </c>
      <c r="J1371" s="1" cm="1">
        <f t="array" ref="J1371">SUMPRODUCT(("T_B_u-ICEnga-S3"=[1]OUT_TransportEnergyCons!$A$3:$A$1000)*1,("var_fout"=[1]OUT_TransportEnergyCons!$B$3:$B$1000)*1,ISNUMBER(SEARCH("tpbsu",[1]OUT_TransportEnergyCons!$C$3:$C$1000))*1,[1]OUT_TransportEnergyCons!H$3:H$1000)</f>
        <v>0</v>
      </c>
      <c r="K1371" s="1" cm="1">
        <f t="array" ref="K1371">SUMPRODUCT(("T_B_u-ICEnga-S3"=[1]OUT_TransportEnergyCons!$A$3:$A$1000)*1,("var_fout"=[1]OUT_TransportEnergyCons!$B$3:$B$1000)*1,ISNUMBER(SEARCH("tpbsu",[1]OUT_TransportEnergyCons!$C$3:$C$1000))*1,[1]OUT_TransportEnergyCons!I$3:I$1000)</f>
        <v>0</v>
      </c>
    </row>
    <row r="1372" spans="2:11" x14ac:dyDescent="0.35">
      <c r="B1372" s="5" t="str">
        <f t="shared" si="800"/>
        <v>SPS4</v>
      </c>
      <c r="C1372" s="5" t="str">
        <f t="shared" si="809"/>
        <v>CH</v>
      </c>
      <c r="D1372" t="s">
        <v>1370</v>
      </c>
      <c r="E1372" t="str">
        <f t="shared" si="810"/>
        <v>billion km/yr.</v>
      </c>
      <c r="F1372" s="1" cm="1">
        <f t="array" ref="F1372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SUMPRODUCT(("T_B_u-ICEnga-S4"=[1]OUT_TransportEnergyCons!$A$3:$A$1000)*1,("var_fout"=[1]OUT_TransportEnergyCons!$B$3:$B$1000)*1,ISNUMBER(SEARCH("tpbsu",[1]OUT_TransportEnergyCons!$C$3:$C$1000))*1,[1]OUT_TransportEnergyCons!E$3:E$1000)</f>
        <v>0</v>
      </c>
      <c r="H1372" s="1" cm="1">
        <f t="array" ref="H1372">SUMPRODUCT(("T_B_u-ICEnga-S4"=[1]OUT_TransportEnergyCons!$A$3:$A$1000)*1,("var_fout"=[1]OUT_TransportEnergyCons!$B$3:$B$1000)*1,ISNUMBER(SEARCH("tpbsu",[1]OUT_TransportEnergyCons!$C$3:$C$1000))*1,[1]OUT_TransportEnergyCons!F$3:F$1000)</f>
        <v>1.0107510533168891E-7</v>
      </c>
      <c r="I1372" s="1" cm="1">
        <f t="array" ref="I1372">SUMPRODUCT(("T_B_u-ICEnga-S4"=[1]OUT_TransportEnergyCons!$A$3:$A$1000)*1,("var_fout"=[1]OUT_TransportEnergyCons!$B$3:$B$1000)*1,ISNUMBER(SEARCH("tpbsu",[1]OUT_TransportEnergyCons!$C$3:$C$1000))*1,[1]OUT_TransportEnergyCons!G$3:G$1000)</f>
        <v>0</v>
      </c>
      <c r="J1372" s="1" cm="1">
        <f t="array" ref="J1372">SUMPRODUCT(("T_B_u-ICEnga-S4"=[1]OUT_TransportEnergyCons!$A$3:$A$1000)*1,("var_fout"=[1]OUT_TransportEnergyCons!$B$3:$B$1000)*1,ISNUMBER(SEARCH("tpbsu",[1]OUT_TransportEnergyCons!$C$3:$C$1000))*1,[1]OUT_TransportEnergyCons!H$3:H$1000)</f>
        <v>0</v>
      </c>
      <c r="K1372" s="1" cm="1">
        <f t="array" ref="K1372">SUMPRODUCT(("T_B_u-ICEnga-S4"=[1]OUT_TransportEnergyCons!$A$3:$A$1000)*1,("var_fout"=[1]OUT_TransportEnergyCons!$B$3:$B$1000)*1,ISNUMBER(SEARCH("tpbsu",[1]OUT_TransportEnergyCons!$C$3:$C$1000))*1,[1]OUT_TransportEnergyCons!I$3:I$1000)</f>
        <v>0</v>
      </c>
    </row>
    <row r="1373" spans="2:11" x14ac:dyDescent="0.35">
      <c r="B1373" s="5" t="str">
        <f t="shared" si="800"/>
        <v>SPS4</v>
      </c>
      <c r="C1373" s="5" t="str">
        <f>C1372</f>
        <v>CH</v>
      </c>
      <c r="D1373" s="2" t="s">
        <v>1371</v>
      </c>
      <c r="E1373" s="2" t="s">
        <v>1230</v>
      </c>
      <c r="F1373" s="22" t="s">
        <v>292</v>
      </c>
      <c r="G1373" s="22" t="s">
        <v>292</v>
      </c>
      <c r="H1373" s="22" t="s">
        <v>292</v>
      </c>
      <c r="I1373" s="22" t="s">
        <v>292</v>
      </c>
      <c r="J1373" s="22" t="s">
        <v>292</v>
      </c>
      <c r="K1373" s="22" t="s">
        <v>292</v>
      </c>
    </row>
    <row r="1374" spans="2:11" x14ac:dyDescent="0.35">
      <c r="B1374" s="5" t="str">
        <f t="shared" si="800"/>
        <v>SPS4</v>
      </c>
      <c r="C1374" s="5" t="str">
        <f t="shared" ref="C1374:C1396" si="811">C1373</f>
        <v>CH</v>
      </c>
      <c r="D1374" t="s">
        <v>1372</v>
      </c>
      <c r="E1374" t="s">
        <v>1230</v>
      </c>
      <c r="F1374" s="1">
        <f>IFERROR(F1350/F1315,"-")</f>
        <v>4.190604214466032</v>
      </c>
      <c r="G1374" s="1">
        <f t="shared" ref="G1374:K1374" si="812">IFERROR(G1350/G1315,"-")</f>
        <v>3.3737507326839347</v>
      </c>
      <c r="H1374" s="1">
        <f t="shared" si="812"/>
        <v>2.1484705100107924</v>
      </c>
      <c r="I1374" s="1" t="str">
        <f t="shared" si="812"/>
        <v>-</v>
      </c>
      <c r="J1374" s="1" t="str">
        <f t="shared" si="812"/>
        <v>-</v>
      </c>
      <c r="K1374" s="1" t="str">
        <f t="shared" si="812"/>
        <v>-</v>
      </c>
    </row>
    <row r="1375" spans="2:11" x14ac:dyDescent="0.35">
      <c r="B1375" s="5" t="str">
        <f t="shared" si="800"/>
        <v>SPS4</v>
      </c>
      <c r="C1375" s="5" t="str">
        <f t="shared" si="811"/>
        <v>CH</v>
      </c>
      <c r="D1375" t="s">
        <v>1373</v>
      </c>
      <c r="E1375" t="s">
        <v>1230</v>
      </c>
      <c r="F1375" s="1">
        <f t="shared" ref="F1375:K1375" si="813">IFERROR(F1351/F1316,"-")</f>
        <v>0.37869321701871789</v>
      </c>
      <c r="G1375" s="1">
        <f t="shared" si="813"/>
        <v>0.39241552852150441</v>
      </c>
      <c r="H1375" s="1">
        <f t="shared" si="813"/>
        <v>0.40405087383499366</v>
      </c>
      <c r="I1375" s="1">
        <f t="shared" si="813"/>
        <v>0.44729069505600183</v>
      </c>
      <c r="J1375" s="1">
        <f t="shared" si="813"/>
        <v>0.47237313832237565</v>
      </c>
      <c r="K1375" s="1">
        <f t="shared" si="813"/>
        <v>0.53053155364852456</v>
      </c>
    </row>
    <row r="1376" spans="2:11" x14ac:dyDescent="0.35">
      <c r="B1376" s="5" t="str">
        <f t="shared" si="800"/>
        <v>SPS4</v>
      </c>
      <c r="C1376" s="5" t="str">
        <f t="shared" si="811"/>
        <v>CH</v>
      </c>
      <c r="D1376" t="s">
        <v>1374</v>
      </c>
      <c r="E1376" t="s">
        <v>1230</v>
      </c>
      <c r="F1376" s="1">
        <f t="shared" ref="F1376:K1376" si="814">IFERROR(F1352/F1317,"-")</f>
        <v>0.27518070496490704</v>
      </c>
      <c r="G1376" s="1">
        <f t="shared" si="814"/>
        <v>0.27810818601337112</v>
      </c>
      <c r="H1376" s="1">
        <f t="shared" si="814"/>
        <v>0.28559999743026354</v>
      </c>
      <c r="I1376" s="1">
        <f t="shared" si="814"/>
        <v>0.32396315123131614</v>
      </c>
      <c r="J1376" s="1">
        <f t="shared" si="814"/>
        <v>0.34344476172848598</v>
      </c>
      <c r="K1376" s="1">
        <f t="shared" si="814"/>
        <v>0.3820853143174664</v>
      </c>
    </row>
    <row r="1377" spans="2:11" x14ac:dyDescent="0.35">
      <c r="B1377" s="5" t="str">
        <f t="shared" si="800"/>
        <v>SPS4</v>
      </c>
      <c r="C1377" s="5" t="str">
        <f t="shared" si="811"/>
        <v>CH</v>
      </c>
      <c r="D1377" t="s">
        <v>1375</v>
      </c>
      <c r="E1377" t="s">
        <v>1230</v>
      </c>
      <c r="F1377" s="1">
        <f t="shared" ref="F1377:K1377" si="815">IFERROR(F1353/F1318,"-")</f>
        <v>0.18297040713439897</v>
      </c>
      <c r="G1377" s="1">
        <f t="shared" si="815"/>
        <v>0.18568835455202359</v>
      </c>
      <c r="H1377" s="1">
        <f t="shared" si="815"/>
        <v>0.18682439710893062</v>
      </c>
      <c r="I1377" s="1">
        <f t="shared" si="815"/>
        <v>0.21581153090904556</v>
      </c>
      <c r="J1377" s="1">
        <f t="shared" si="815"/>
        <v>0.2365941238656552</v>
      </c>
      <c r="K1377" s="1">
        <f t="shared" si="815"/>
        <v>0.25231719616749348</v>
      </c>
    </row>
    <row r="1378" spans="2:11" x14ac:dyDescent="0.35">
      <c r="B1378" s="5" t="str">
        <f t="shared" si="800"/>
        <v>SPS4</v>
      </c>
      <c r="C1378" s="5" t="str">
        <f t="shared" si="811"/>
        <v>CH</v>
      </c>
      <c r="D1378" t="s">
        <v>1376</v>
      </c>
      <c r="E1378" t="s">
        <v>1230</v>
      </c>
      <c r="F1378" s="1">
        <f t="shared" ref="F1378:K1378" si="816">IFERROR(F1354/F1319,"-")</f>
        <v>0.1219871064580704</v>
      </c>
      <c r="G1378" s="1">
        <f t="shared" si="816"/>
        <v>0.12379888105948961</v>
      </c>
      <c r="H1378" s="1">
        <f t="shared" si="816"/>
        <v>0.12657371470771892</v>
      </c>
      <c r="I1378" s="1">
        <f t="shared" si="816"/>
        <v>0.137642579813847</v>
      </c>
      <c r="J1378" s="1">
        <f t="shared" si="816"/>
        <v>0.15698446503642619</v>
      </c>
      <c r="K1378" s="1">
        <f t="shared" si="816"/>
        <v>0.17009016020254505</v>
      </c>
    </row>
    <row r="1379" spans="2:11" x14ac:dyDescent="0.35">
      <c r="B1379" s="5" t="str">
        <f t="shared" si="800"/>
        <v>SPS4</v>
      </c>
      <c r="C1379" s="5" t="str">
        <f t="shared" si="811"/>
        <v>CH</v>
      </c>
      <c r="D1379" t="s">
        <v>1377</v>
      </c>
      <c r="E1379" t="s">
        <v>1230</v>
      </c>
      <c r="F1379" s="1" t="str">
        <f>IFERROR(F1355/F1321,"-")</f>
        <v>-</v>
      </c>
      <c r="G1379" s="1" t="str">
        <f t="shared" ref="G1379:K1379" si="817">IFERROR(G1355/G1321,"-")</f>
        <v>-</v>
      </c>
      <c r="H1379" s="1" t="str">
        <f t="shared" si="817"/>
        <v>-</v>
      </c>
      <c r="I1379" s="1">
        <f t="shared" si="817"/>
        <v>0.23440176174444102</v>
      </c>
      <c r="J1379" s="1" t="str">
        <f t="shared" si="817"/>
        <v>-</v>
      </c>
      <c r="K1379" s="1" t="str">
        <f t="shared" si="817"/>
        <v>-</v>
      </c>
    </row>
    <row r="1380" spans="2:11" x14ac:dyDescent="0.35">
      <c r="B1380" s="5" t="str">
        <f t="shared" si="800"/>
        <v>SPS4</v>
      </c>
      <c r="C1380" s="5" t="str">
        <f t="shared" si="811"/>
        <v>CH</v>
      </c>
      <c r="D1380" t="s">
        <v>1378</v>
      </c>
      <c r="E1380" t="s">
        <v>1230</v>
      </c>
      <c r="F1380" s="1" t="str">
        <f t="shared" ref="F1380:K1380" si="818">IFERROR(F1356/F1322,"-")</f>
        <v>-</v>
      </c>
      <c r="G1380" s="1" t="str">
        <f t="shared" si="818"/>
        <v>-</v>
      </c>
      <c r="H1380" s="1" t="str">
        <f t="shared" si="818"/>
        <v>-</v>
      </c>
      <c r="I1380" s="1">
        <f t="shared" si="818"/>
        <v>0.16910151451049604</v>
      </c>
      <c r="J1380" s="1" t="str">
        <f t="shared" si="818"/>
        <v>-</v>
      </c>
      <c r="K1380" s="1" t="str">
        <f t="shared" si="818"/>
        <v>-</v>
      </c>
    </row>
    <row r="1381" spans="2:11" x14ac:dyDescent="0.35">
      <c r="B1381" s="5" t="str">
        <f t="shared" si="800"/>
        <v>SPS4</v>
      </c>
      <c r="C1381" s="5" t="str">
        <f t="shared" si="811"/>
        <v>CH</v>
      </c>
      <c r="D1381" t="s">
        <v>1379</v>
      </c>
      <c r="E1381" t="s">
        <v>1230</v>
      </c>
      <c r="F1381" s="1" t="str">
        <f t="shared" ref="F1381:K1381" si="819">IFERROR(F1357/F1323,"-")</f>
        <v>-</v>
      </c>
      <c r="G1381" s="1" t="str">
        <f t="shared" si="819"/>
        <v>-</v>
      </c>
      <c r="H1381" s="1" t="str">
        <f t="shared" si="819"/>
        <v>-</v>
      </c>
      <c r="I1381" s="1">
        <f t="shared" si="819"/>
        <v>0.11310839137372299</v>
      </c>
      <c r="J1381" s="1" t="str">
        <f t="shared" si="819"/>
        <v>-</v>
      </c>
      <c r="K1381" s="1">
        <f t="shared" si="819"/>
        <v>0.14658985260534713</v>
      </c>
    </row>
    <row r="1382" spans="2:11" x14ac:dyDescent="0.35">
      <c r="B1382" s="5" t="str">
        <f t="shared" si="800"/>
        <v>SPS4</v>
      </c>
      <c r="C1382" s="5" t="str">
        <f t="shared" si="811"/>
        <v>CH</v>
      </c>
      <c r="D1382" t="s">
        <v>1380</v>
      </c>
      <c r="E1382" t="s">
        <v>1230</v>
      </c>
      <c r="F1382" s="1" t="str">
        <f t="shared" ref="F1382:K1382" si="820">IFERROR(F1358/F1324,"-")</f>
        <v>-</v>
      </c>
      <c r="G1382" s="1" t="str">
        <f t="shared" si="820"/>
        <v>-</v>
      </c>
      <c r="H1382" s="1" t="str">
        <f t="shared" si="820"/>
        <v>-</v>
      </c>
      <c r="I1382" s="1" t="str">
        <f t="shared" si="820"/>
        <v>-</v>
      </c>
      <c r="J1382" s="1" t="str">
        <f t="shared" si="820"/>
        <v>-</v>
      </c>
      <c r="K1382" s="1" t="str">
        <f t="shared" si="820"/>
        <v>-</v>
      </c>
    </row>
    <row r="1383" spans="2:11" x14ac:dyDescent="0.35">
      <c r="B1383" s="5" t="str">
        <f t="shared" si="800"/>
        <v>SPS4</v>
      </c>
      <c r="C1383" s="5" t="str">
        <f t="shared" si="811"/>
        <v>CH</v>
      </c>
      <c r="D1383" t="s">
        <v>1381</v>
      </c>
      <c r="E1383" t="s">
        <v>1230</v>
      </c>
      <c r="F1383" s="1" t="str">
        <f>IFERROR(F1359/F1330,"-")</f>
        <v>-</v>
      </c>
      <c r="G1383" s="1">
        <f t="shared" ref="G1383:K1383" si="821">IFERROR(G1359/G1330,"-")</f>
        <v>0.16251369968883872</v>
      </c>
      <c r="H1383" s="1">
        <f t="shared" si="821"/>
        <v>0.16324632959374824</v>
      </c>
      <c r="I1383" s="1">
        <f t="shared" si="821"/>
        <v>0.17553422510032779</v>
      </c>
      <c r="J1383" s="1">
        <f t="shared" si="821"/>
        <v>0.19799602670731362</v>
      </c>
      <c r="K1383" s="1">
        <f t="shared" si="821"/>
        <v>0.21544522526157062</v>
      </c>
    </row>
    <row r="1384" spans="2:11" x14ac:dyDescent="0.35">
      <c r="B1384" s="5" t="str">
        <f t="shared" si="800"/>
        <v>SPS4</v>
      </c>
      <c r="C1384" s="5" t="str">
        <f t="shared" si="811"/>
        <v>CH</v>
      </c>
      <c r="D1384" t="s">
        <v>1382</v>
      </c>
      <c r="E1384" t="s">
        <v>1230</v>
      </c>
      <c r="F1384" s="1" t="str">
        <f t="shared" ref="F1384:K1384" si="822">IFERROR(F1360/F1331,"-")</f>
        <v>-</v>
      </c>
      <c r="G1384" s="1">
        <f t="shared" si="822"/>
        <v>0.11649393435744136</v>
      </c>
      <c r="H1384" s="1">
        <f t="shared" si="822"/>
        <v>0.11855654844450272</v>
      </c>
      <c r="I1384" s="1">
        <f t="shared" si="822"/>
        <v>0.12461980365635915</v>
      </c>
      <c r="J1384" s="1">
        <f t="shared" si="822"/>
        <v>0.14190596528316576</v>
      </c>
      <c r="K1384" s="1">
        <f t="shared" si="822"/>
        <v>0.15359641201962235</v>
      </c>
    </row>
    <row r="1385" spans="2:11" x14ac:dyDescent="0.35">
      <c r="B1385" s="5" t="str">
        <f t="shared" si="800"/>
        <v>SPS4</v>
      </c>
      <c r="C1385" s="5" t="str">
        <f t="shared" si="811"/>
        <v>CH</v>
      </c>
      <c r="D1385" t="s">
        <v>1383</v>
      </c>
      <c r="E1385" t="s">
        <v>1230</v>
      </c>
      <c r="F1385" s="1" t="str">
        <f t="shared" ref="F1385:K1385" si="823">IFERROR(F1361/F1332,"-")</f>
        <v>-</v>
      </c>
      <c r="G1385" s="1">
        <f t="shared" si="823"/>
        <v>7.8235828164578816E-2</v>
      </c>
      <c r="H1385" s="1">
        <f t="shared" si="823"/>
        <v>8.1908014872492954E-2</v>
      </c>
      <c r="I1385" s="1">
        <f t="shared" si="823"/>
        <v>8.4875558993272815E-2</v>
      </c>
      <c r="J1385" s="1">
        <f t="shared" si="823"/>
        <v>9.5621728948360837E-2</v>
      </c>
      <c r="K1385" s="1">
        <f t="shared" si="823"/>
        <v>0.10758684306630395</v>
      </c>
    </row>
    <row r="1386" spans="2:11" x14ac:dyDescent="0.35">
      <c r="B1386" s="5" t="str">
        <f t="shared" si="800"/>
        <v>SPS4</v>
      </c>
      <c r="C1386" s="5" t="str">
        <f t="shared" si="811"/>
        <v>CH</v>
      </c>
      <c r="D1386" t="s">
        <v>1384</v>
      </c>
      <c r="E1386" t="s">
        <v>1230</v>
      </c>
      <c r="F1386" s="1" t="str">
        <f t="shared" ref="F1386:K1386" si="824">IFERROR(F1362/F1333,"-")</f>
        <v>-</v>
      </c>
      <c r="G1386" s="1">
        <f t="shared" si="824"/>
        <v>5.2751439830497696E-2</v>
      </c>
      <c r="H1386" s="1">
        <f t="shared" si="824"/>
        <v>5.399879487178421E-2</v>
      </c>
      <c r="I1386" s="1">
        <f t="shared" si="824"/>
        <v>5.7181572742025968E-2</v>
      </c>
      <c r="J1386" s="1">
        <f t="shared" si="824"/>
        <v>6.509921406491849E-2</v>
      </c>
      <c r="K1386" s="1">
        <f t="shared" si="824"/>
        <v>7.3435402919044865E-2</v>
      </c>
    </row>
    <row r="1387" spans="2:11" x14ac:dyDescent="0.35">
      <c r="B1387" s="5" t="str">
        <f t="shared" si="800"/>
        <v>SPS4</v>
      </c>
      <c r="C1387" s="5" t="str">
        <f t="shared" si="811"/>
        <v>CH</v>
      </c>
      <c r="D1387" t="s">
        <v>2003</v>
      </c>
      <c r="E1387" t="s">
        <v>1230</v>
      </c>
      <c r="F1387" s="1">
        <f>IFERROR(F1363/F1334,"-")</f>
        <v>13.968680714886805</v>
      </c>
      <c r="G1387" s="1">
        <f t="shared" ref="G1387:K1387" si="825">IFERROR(G1363/G1334,"-")</f>
        <v>11.189596541502649</v>
      </c>
      <c r="H1387" s="1">
        <f t="shared" si="825"/>
        <v>7.0209702814264299</v>
      </c>
      <c r="I1387" s="1" t="str">
        <f t="shared" si="825"/>
        <v>-</v>
      </c>
      <c r="J1387" s="1" t="str">
        <f t="shared" si="825"/>
        <v>-</v>
      </c>
      <c r="K1387" s="1" t="str">
        <f t="shared" si="825"/>
        <v>-</v>
      </c>
    </row>
    <row r="1388" spans="2:11" x14ac:dyDescent="0.35">
      <c r="B1388" s="5" t="str">
        <f t="shared" si="800"/>
        <v>SPS4</v>
      </c>
      <c r="C1388" s="5" t="str">
        <f t="shared" si="811"/>
        <v>CH</v>
      </c>
      <c r="D1388" t="s">
        <v>1385</v>
      </c>
      <c r="E1388" t="s">
        <v>1230</v>
      </c>
      <c r="F1388" s="1">
        <f t="shared" ref="F1388:K1388" si="826">IFERROR(F1364/F1335,"-")</f>
        <v>0.12391916748597477</v>
      </c>
      <c r="G1388" s="1">
        <f t="shared" si="826"/>
        <v>0.12851058112317332</v>
      </c>
      <c r="H1388" s="1">
        <f t="shared" si="826"/>
        <v>0.13151751568543626</v>
      </c>
      <c r="I1388" s="1">
        <f t="shared" si="826"/>
        <v>0.12391916748597509</v>
      </c>
      <c r="J1388" s="1" t="str">
        <f t="shared" si="826"/>
        <v>-</v>
      </c>
      <c r="K1388" s="1" t="str">
        <f t="shared" si="826"/>
        <v>-</v>
      </c>
    </row>
    <row r="1389" spans="2:11" x14ac:dyDescent="0.35">
      <c r="B1389" s="5" t="str">
        <f t="shared" si="800"/>
        <v>SPS4</v>
      </c>
      <c r="C1389" s="5" t="str">
        <f t="shared" si="811"/>
        <v>CH</v>
      </c>
      <c r="D1389" t="s">
        <v>1386</v>
      </c>
      <c r="E1389" t="s">
        <v>1230</v>
      </c>
      <c r="F1389" s="1">
        <f t="shared" ref="F1389:K1389" si="827">IFERROR(F1365/F1336,"-")</f>
        <v>8.7465847585616749E-2</v>
      </c>
      <c r="G1389" s="1">
        <f t="shared" si="827"/>
        <v>8.7822979568410023E-2</v>
      </c>
      <c r="H1389" s="1">
        <f t="shared" si="827"/>
        <v>9.0661410898503964E-2</v>
      </c>
      <c r="I1389" s="1" t="str">
        <f t="shared" si="827"/>
        <v>-</v>
      </c>
      <c r="J1389" s="1" t="str">
        <f t="shared" si="827"/>
        <v>-</v>
      </c>
      <c r="K1389" s="1" t="str">
        <f t="shared" si="827"/>
        <v>-</v>
      </c>
    </row>
    <row r="1390" spans="2:11" x14ac:dyDescent="0.35">
      <c r="B1390" s="5" t="str">
        <f t="shared" si="800"/>
        <v>SPS4</v>
      </c>
      <c r="C1390" s="5" t="str">
        <f t="shared" si="811"/>
        <v>CH</v>
      </c>
      <c r="D1390" t="s">
        <v>1387</v>
      </c>
      <c r="E1390" t="s">
        <v>1230</v>
      </c>
      <c r="F1390" s="1">
        <f t="shared" ref="F1390:K1390" si="828">IFERROR(F1366/F1337,"-")</f>
        <v>5.7949527986548691E-2</v>
      </c>
      <c r="G1390" s="1">
        <f t="shared" si="828"/>
        <v>5.8107945259494906E-2</v>
      </c>
      <c r="H1390" s="1">
        <f t="shared" si="828"/>
        <v>5.8109558591357809E-2</v>
      </c>
      <c r="I1390" s="1" t="str">
        <f t="shared" si="828"/>
        <v>-</v>
      </c>
      <c r="J1390" s="1" t="str">
        <f t="shared" si="828"/>
        <v>-</v>
      </c>
      <c r="K1390" s="1" t="str">
        <f t="shared" si="828"/>
        <v>-</v>
      </c>
    </row>
    <row r="1391" spans="2:11" x14ac:dyDescent="0.35">
      <c r="B1391" s="5" t="str">
        <f t="shared" si="800"/>
        <v>SPS4</v>
      </c>
      <c r="C1391" s="5" t="str">
        <f t="shared" si="811"/>
        <v>CH</v>
      </c>
      <c r="D1391" t="s">
        <v>1388</v>
      </c>
      <c r="E1391" t="s">
        <v>1230</v>
      </c>
      <c r="F1391" s="1">
        <f t="shared" ref="F1391:K1391" si="829">IFERROR(F1367/F1338,"-")</f>
        <v>3.8646481387947539E-2</v>
      </c>
      <c r="G1391" s="1">
        <f t="shared" si="829"/>
        <v>3.8868195239302711E-2</v>
      </c>
      <c r="H1391" s="1">
        <f t="shared" si="829"/>
        <v>3.9034604529746067E-2</v>
      </c>
      <c r="I1391" s="1" t="str">
        <f t="shared" si="829"/>
        <v>-</v>
      </c>
      <c r="J1391" s="1" t="str">
        <f t="shared" si="829"/>
        <v>-</v>
      </c>
      <c r="K1391" s="1" t="str">
        <f t="shared" si="829"/>
        <v>-</v>
      </c>
    </row>
    <row r="1392" spans="2:11" x14ac:dyDescent="0.35">
      <c r="B1392" s="5" t="str">
        <f t="shared" si="800"/>
        <v>SPS4</v>
      </c>
      <c r="C1392" s="5" t="str">
        <f t="shared" si="811"/>
        <v>CH</v>
      </c>
      <c r="D1392" t="s">
        <v>2007</v>
      </c>
      <c r="E1392" t="s">
        <v>1230</v>
      </c>
      <c r="F1392" s="1">
        <f>IFERROR(F1368/F1344,"-")</f>
        <v>13.968680714886794</v>
      </c>
      <c r="G1392" s="1">
        <f t="shared" ref="G1392:K1392" si="830">IFERROR(G1368/G1344,"-")</f>
        <v>11.186996076539064</v>
      </c>
      <c r="H1392" s="1">
        <f t="shared" si="830"/>
        <v>7.0144691190174777</v>
      </c>
      <c r="I1392" s="1" t="str">
        <f t="shared" si="830"/>
        <v>-</v>
      </c>
      <c r="J1392" s="1" t="str">
        <f t="shared" si="830"/>
        <v>-</v>
      </c>
      <c r="K1392" s="1" t="str">
        <f t="shared" si="830"/>
        <v>-</v>
      </c>
    </row>
    <row r="1393" spans="2:11" x14ac:dyDescent="0.35">
      <c r="B1393" s="5" t="str">
        <f t="shared" si="800"/>
        <v>SPS4</v>
      </c>
      <c r="C1393" s="5" t="str">
        <f t="shared" si="811"/>
        <v>CH</v>
      </c>
      <c r="D1393" t="s">
        <v>1389</v>
      </c>
      <c r="E1393" t="s">
        <v>1230</v>
      </c>
      <c r="F1393" s="1" t="str">
        <f t="shared" ref="F1393:K1393" si="831">IFERROR(F1369/F1345,"-")</f>
        <v>-</v>
      </c>
      <c r="G1393" s="1">
        <f t="shared" si="831"/>
        <v>0.12023751974847215</v>
      </c>
      <c r="H1393" s="1">
        <f t="shared" si="831"/>
        <v>0.12574511870939081</v>
      </c>
      <c r="I1393" s="1">
        <f t="shared" si="831"/>
        <v>0.13773913700414098</v>
      </c>
      <c r="J1393" s="1">
        <f t="shared" si="831"/>
        <v>0.1529098845294049</v>
      </c>
      <c r="K1393" s="1">
        <f t="shared" si="831"/>
        <v>0.16808063205466892</v>
      </c>
    </row>
    <row r="1394" spans="2:11" x14ac:dyDescent="0.35">
      <c r="B1394" s="5" t="str">
        <f t="shared" si="800"/>
        <v>SPS4</v>
      </c>
      <c r="C1394" s="5" t="str">
        <f t="shared" si="811"/>
        <v>CH</v>
      </c>
      <c r="D1394" t="s">
        <v>1390</v>
      </c>
      <c r="E1394" t="s">
        <v>1230</v>
      </c>
      <c r="F1394" s="1" t="str">
        <f t="shared" ref="F1394:K1394" si="832">IFERROR(F1370/F1346,"-")</f>
        <v>-</v>
      </c>
      <c r="G1394" s="1">
        <f t="shared" si="832"/>
        <v>8.4998076233608832E-2</v>
      </c>
      <c r="H1394" s="1">
        <f t="shared" si="832"/>
        <v>8.9392642763747573E-2</v>
      </c>
      <c r="I1394" s="1" t="str">
        <f t="shared" si="832"/>
        <v>-</v>
      </c>
      <c r="J1394" s="1" t="str">
        <f t="shared" si="832"/>
        <v>-</v>
      </c>
      <c r="K1394" s="1" t="str">
        <f t="shared" si="832"/>
        <v>-</v>
      </c>
    </row>
    <row r="1395" spans="2:11" x14ac:dyDescent="0.35">
      <c r="B1395" s="5" t="str">
        <f t="shared" si="800"/>
        <v>SPS4</v>
      </c>
      <c r="C1395" s="5" t="str">
        <f t="shared" si="811"/>
        <v>CH</v>
      </c>
      <c r="D1395" t="s">
        <v>1391</v>
      </c>
      <c r="E1395" t="s">
        <v>1230</v>
      </c>
      <c r="F1395" s="1" t="str">
        <f t="shared" ref="F1395:K1395" si="833">IFERROR(F1371/F1347,"-")</f>
        <v>-</v>
      </c>
      <c r="G1395" s="1">
        <f t="shared" si="833"/>
        <v>5.6422133461237124E-2</v>
      </c>
      <c r="H1395" s="1">
        <f t="shared" si="833"/>
        <v>5.8575131343515094E-2</v>
      </c>
      <c r="I1395" s="1" t="str">
        <f t="shared" si="833"/>
        <v>-</v>
      </c>
      <c r="J1395" s="1" t="str">
        <f t="shared" si="833"/>
        <v>-</v>
      </c>
      <c r="K1395" s="1" t="str">
        <f t="shared" si="833"/>
        <v>-</v>
      </c>
    </row>
    <row r="1396" spans="2:11" x14ac:dyDescent="0.35">
      <c r="B1396" s="5" t="str">
        <f t="shared" ref="B1396:B1459" si="834">B1395</f>
        <v>SPS4</v>
      </c>
      <c r="C1396" s="5" t="str">
        <f t="shared" si="811"/>
        <v>CH</v>
      </c>
      <c r="D1396" t="s">
        <v>1392</v>
      </c>
      <c r="E1396" t="s">
        <v>1230</v>
      </c>
      <c r="F1396" s="1" t="str">
        <f t="shared" ref="F1396:K1396" si="835">IFERROR(F1372/F1348,"-")</f>
        <v>-</v>
      </c>
      <c r="G1396" s="1" t="str">
        <f t="shared" si="835"/>
        <v>-</v>
      </c>
      <c r="H1396" s="1">
        <f t="shared" si="835"/>
        <v>3.9673729016116599E-2</v>
      </c>
      <c r="I1396" s="1" t="str">
        <f t="shared" si="835"/>
        <v>-</v>
      </c>
      <c r="J1396" s="1" t="str">
        <f t="shared" si="835"/>
        <v>-</v>
      </c>
      <c r="K1396" s="1" t="str">
        <f t="shared" si="835"/>
        <v>-</v>
      </c>
    </row>
    <row r="1397" spans="2:11" x14ac:dyDescent="0.35">
      <c r="B1397" s="9" t="str">
        <f t="shared" si="834"/>
        <v>SPS4</v>
      </c>
      <c r="C1397" s="9" t="str">
        <f>C1396</f>
        <v>CH</v>
      </c>
      <c r="D1397" s="2" t="s">
        <v>1395</v>
      </c>
      <c r="E1397" s="2" t="s">
        <v>8</v>
      </c>
      <c r="F1397" s="3">
        <f>F1398+F1404+F1409+F1423</f>
        <v>0.8134668665129845</v>
      </c>
      <c r="G1397" s="3">
        <f t="shared" ref="G1397" si="836">G1398+G1404+G1409+G1423</f>
        <v>0.84719842520788535</v>
      </c>
      <c r="H1397" s="3">
        <f t="shared" ref="H1397" si="837">H1398+H1404+H1409+H1423</f>
        <v>1.021058029621323</v>
      </c>
      <c r="I1397" s="3">
        <f t="shared" ref="I1397" si="838">I1398+I1404+I1409+I1423</f>
        <v>0.61968788288138599</v>
      </c>
      <c r="J1397" s="3">
        <f t="shared" ref="J1397" si="839">J1398+J1404+J1409+J1423</f>
        <v>0.56927102174032962</v>
      </c>
      <c r="K1397" s="3">
        <f t="shared" ref="K1397" si="840">K1398+K1404+K1409+K1423</f>
        <v>0.50884216324538034</v>
      </c>
    </row>
    <row r="1398" spans="2:11" x14ac:dyDescent="0.35">
      <c r="B1398" s="5" t="str">
        <f t="shared" si="834"/>
        <v>SPS4</v>
      </c>
      <c r="C1398" s="5" t="str">
        <f>C1397</f>
        <v>CH</v>
      </c>
      <c r="D1398" t="s">
        <v>1396</v>
      </c>
      <c r="E1398" t="s">
        <v>8</v>
      </c>
      <c r="F1398" s="1">
        <f>SUM(F1399:F1403)</f>
        <v>1.3606161510715297E-3</v>
      </c>
      <c r="G1398" s="1">
        <f t="shared" ref="G1398" si="841">SUM(G1399:G1403)</f>
        <v>1.6807419974038302E-3</v>
      </c>
      <c r="H1398" s="1">
        <f t="shared" ref="H1398" si="842">SUM(H1399:H1403)</f>
        <v>2.3661226419819182E-3</v>
      </c>
      <c r="I1398" s="1">
        <f t="shared" ref="I1398" si="843">SUM(I1399:I1403)</f>
        <v>0.21488051434436106</v>
      </c>
      <c r="J1398" s="1">
        <f t="shared" ref="J1398" si="844">SUM(J1399:J1403)</f>
        <v>0.20348045859812608</v>
      </c>
      <c r="K1398" s="1">
        <f t="shared" ref="K1398" si="845">SUM(K1399:K1403)</f>
        <v>0.178560650851531</v>
      </c>
    </row>
    <row r="1399" spans="2:11" x14ac:dyDescent="0.35">
      <c r="B1399" s="5" t="str">
        <f t="shared" si="834"/>
        <v>SPS4</v>
      </c>
      <c r="C1399" s="5" t="str">
        <f t="shared" ref="C1399:C1432" si="846">C1398</f>
        <v>CH</v>
      </c>
      <c r="D1399" t="s">
        <v>1397</v>
      </c>
      <c r="E1399" t="s">
        <v>8</v>
      </c>
      <c r="F1399" s="1" cm="1">
        <f t="array" ref="F1399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399" s="1" cm="1">
        <f t="array" ref="G1399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399" s="1" cm="1">
        <f t="array" ref="H1399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399" s="1" cm="1">
        <f t="array" ref="I1399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399" s="1" cm="1">
        <f t="array" ref="J1399">SUMPRODUCT(("T_B_c-BeVELCEXT"=[1]OUT_TransportEnergyCons!$A$3:$A$1000)*1,("Var_Fin"=[1]OUT_TransportEnergyCons!$B$3:$B$1000)*1,ISNUMBER(SEARCH("ELC",[1]OUT_TransportEnergyCons!$C$3:$C$1000))*1,[1]OUT_TransportEnergyCons!H$3:H$1000)</f>
        <v>0</v>
      </c>
      <c r="K1399" s="1" cm="1">
        <f t="array" ref="K1399">SUMPRODUCT(("T_B_c-BeVELCEXT"=[1]OUT_TransportEnergyCons!$A$3:$A$1000)*1,("Var_Fin"=[1]OUT_TransportEnergyCons!$B$3:$B$1000)*1,ISNUMBER(SEARCH("ELC",[1]OUT_TransportEnergyCons!$C$3:$C$1000))*1,[1]OUT_TransportEnergyCons!I$3:I$1000)</f>
        <v>0</v>
      </c>
    </row>
    <row r="1400" spans="2:11" x14ac:dyDescent="0.35">
      <c r="B1400" s="5" t="str">
        <f t="shared" si="834"/>
        <v>SPS4</v>
      </c>
      <c r="C1400" s="5" t="str">
        <f t="shared" si="846"/>
        <v>CH</v>
      </c>
      <c r="D1400" t="s">
        <v>1398</v>
      </c>
      <c r="E1400" t="s">
        <v>8</v>
      </c>
      <c r="F1400" s="1" cm="1">
        <f t="array" ref="F1400">SUMPRODUCT(("T_B_c-BEVELC-S1"=[1]OUT_TransportEnergyCons!$A$3:$A$1000)*1,("Var_Fin"=[1]OUT_TransportEnergyCons!$B$3:$B$1000)*1,ISNUMBER(SEARCH("ELC",[1]OUT_TransportEnergyCons!$C$3:$C$1000))*1,[1]OUT_TransportEnergyCons!D$3:D$1000)</f>
        <v>3.7081007471461043E-4</v>
      </c>
      <c r="G1400" s="1" cm="1">
        <f t="array" ref="G1400">SUMPRODUCT(("T_B_c-BEVELC-S1"=[1]OUT_TransportEnergyCons!$A$3:$A$1000)*1,("Var_Fin"=[1]OUT_TransportEnergyCons!$B$3:$B$1000)*1,ISNUMBER(SEARCH("ELC",[1]OUT_TransportEnergyCons!$C$3:$C$1000))*1,[1]OUT_TransportEnergyCons!E$3:E$1000)</f>
        <v>4.8160941728103159E-4</v>
      </c>
      <c r="H1400" s="1" cm="1">
        <f t="array" ref="H1400">SUMPRODUCT(("T_B_c-BEVELC-S1"=[1]OUT_TransportEnergyCons!$A$3:$A$1000)*1,("Var_Fin"=[1]OUT_TransportEnergyCons!$B$3:$B$1000)*1,ISNUMBER(SEARCH("ELC",[1]OUT_TransportEnergyCons!$C$3:$C$1000))*1,[1]OUT_TransportEnergyCons!F$3:F$1000)</f>
        <v>7.0393441785332055E-4</v>
      </c>
      <c r="I1400" s="1" cm="1">
        <f t="array" ref="I1400">SUMPRODUCT(("T_B_c-BEVELC-S1"=[1]OUT_TransportEnergyCons!$A$3:$A$1000)*1,("Var_Fin"=[1]OUT_TransportEnergyCons!$B$3:$B$1000)*1,ISNUMBER(SEARCH("ELC",[1]OUT_TransportEnergyCons!$C$3:$C$1000))*1,[1]OUT_TransportEnergyCons!G$3:G$1000)</f>
        <v>0.14432854363477354</v>
      </c>
      <c r="J1400" s="1" cm="1">
        <f t="array" ref="J1400">SUMPRODUCT(("T_B_c-BEVELC-S1"=[1]OUT_TransportEnergyCons!$A$3:$A$1000)*1,("Var_Fin"=[1]OUT_TransportEnergyCons!$B$3:$B$1000)*1,ISNUMBER(SEARCH("ELC",[1]OUT_TransportEnergyCons!$C$3:$C$1000))*1,[1]OUT_TransportEnergyCons!H$3:H$1000)</f>
        <v>0.13538432512086473</v>
      </c>
      <c r="K1400" s="1" cm="1">
        <f t="array" ref="K1400">SUMPRODUCT(("T_B_c-BEVELC-S1"=[1]OUT_TransportEnergyCons!$A$3:$A$1000)*1,("Var_Fin"=[1]OUT_TransportEnergyCons!$B$3:$B$1000)*1,ISNUMBER(SEARCH("ELC",[1]OUT_TransportEnergyCons!$C$3:$C$1000))*1,[1]OUT_TransportEnergyCons!I$3:I$1000)</f>
        <v>0.11832455488565992</v>
      </c>
    </row>
    <row r="1401" spans="2:11" x14ac:dyDescent="0.35">
      <c r="B1401" s="5" t="str">
        <f t="shared" si="834"/>
        <v>SPS4</v>
      </c>
      <c r="C1401" s="5" t="str">
        <f t="shared" si="846"/>
        <v>CH</v>
      </c>
      <c r="D1401" t="s">
        <v>1399</v>
      </c>
      <c r="E1401" t="s">
        <v>8</v>
      </c>
      <c r="F1401" s="1" cm="1">
        <f t="array" ref="F1401">SUMPRODUCT(("T_B_c-BEVELC-S2"=[1]OUT_TransportEnergyCons!$A$3:$A$1000)*1,("Var_Fin"=[1]OUT_TransportEnergyCons!$B$3:$B$1000)*1,ISNUMBER(SEARCH("ELC",[1]OUT_TransportEnergyCons!$C$3:$C$1000))*1,[1]OUT_TransportEnergyCons!D$3:D$1000)</f>
        <v>6.6750454397754755E-4</v>
      </c>
      <c r="G1401" s="1" cm="1">
        <f t="array" ref="G1401">SUMPRODUCT(("T_B_c-BEVELC-S2"=[1]OUT_TransportEnergyCons!$A$3:$A$1000)*1,("Var_Fin"=[1]OUT_TransportEnergyCons!$B$3:$B$1000)*1,ISNUMBER(SEARCH("ELC",[1]OUT_TransportEnergyCons!$C$3:$C$1000))*1,[1]OUT_TransportEnergyCons!E$3:E$1000)</f>
        <v>6.5055561787712385E-4</v>
      </c>
      <c r="H1401" s="1" cm="1">
        <f t="array" ref="H1401">SUMPRODUCT(("T_B_c-BEVELC-S2"=[1]OUT_TransportEnergyCons!$A$3:$A$1000)*1,("Var_Fin"=[1]OUT_TransportEnergyCons!$B$3:$B$1000)*1,ISNUMBER(SEARCH("ELC",[1]OUT_TransportEnergyCons!$C$3:$C$1000))*1,[1]OUT_TransportEnergyCons!F$3:F$1000)</f>
        <v>9.2785564079656034E-4</v>
      </c>
      <c r="I1401" s="1" cm="1">
        <f t="array" ref="I1401">SUMPRODUCT(("T_B_c-BEVELC-S2"=[1]OUT_TransportEnergyCons!$A$3:$A$1000)*1,("Var_Fin"=[1]OUT_TransportEnergyCons!$B$3:$B$1000)*1,ISNUMBER(SEARCH("ELC",[1]OUT_TransportEnergyCons!$C$3:$C$1000))*1,[1]OUT_TransportEnergyCons!G$3:G$1000)</f>
        <v>6.9767066467802702E-2</v>
      </c>
      <c r="J1401" s="1" cm="1">
        <f t="array" ref="J1401">SUMPRODUCT(("T_B_c-BEVELC-S2"=[1]OUT_TransportEnergyCons!$A$3:$A$1000)*1,("Var_Fin"=[1]OUT_TransportEnergyCons!$B$3:$B$1000)*1,ISNUMBER(SEARCH("ELC",[1]OUT_TransportEnergyCons!$C$3:$C$1000))*1,[1]OUT_TransportEnergyCons!H$3:H$1000)</f>
        <v>6.6330748119690211E-2</v>
      </c>
      <c r="K1401" s="1" cm="1">
        <f t="array" ref="K1401">SUMPRODUCT(("T_B_c-BEVELC-S2"=[1]OUT_TransportEnergyCons!$A$3:$A$1000)*1,("Var_Fin"=[1]OUT_TransportEnergyCons!$B$3:$B$1000)*1,ISNUMBER(SEARCH("ELC",[1]OUT_TransportEnergyCons!$C$3:$C$1000))*1,[1]OUT_TransportEnergyCons!I$3:I$1000)</f>
        <v>5.9350534164807206E-2</v>
      </c>
    </row>
    <row r="1402" spans="2:11" x14ac:dyDescent="0.35">
      <c r="B1402" s="5" t="str">
        <f t="shared" si="834"/>
        <v>SPS4</v>
      </c>
      <c r="C1402" s="5" t="str">
        <f t="shared" si="846"/>
        <v>CH</v>
      </c>
      <c r="D1402" t="s">
        <v>1400</v>
      </c>
      <c r="E1402" t="s">
        <v>8</v>
      </c>
      <c r="F1402" s="1" cm="1">
        <f t="array" ref="F1402">SUMPRODUCT(("T_B_c-BEVELC-S3"=[1]OUT_TransportEnergyCons!$A$3:$A$1000)*1,("Var_Fin"=[1]OUT_TransportEnergyCons!$B$3:$B$1000)*1,ISNUMBER(SEARCH("ELC",[1]OUT_TransportEnergyCons!$C$3:$C$1000))*1,[1]OUT_TransportEnergyCons!D$3:D$1000)</f>
        <v>3.2230153237937159E-4</v>
      </c>
      <c r="G1402" s="1" cm="1">
        <f t="array" ref="G1402">SUMPRODUCT(("T_B_c-BEVELC-S3"=[1]OUT_TransportEnergyCons!$A$3:$A$1000)*1,("Var_Fin"=[1]OUT_TransportEnergyCons!$B$3:$B$1000)*1,ISNUMBER(SEARCH("ELC",[1]OUT_TransportEnergyCons!$C$3:$C$1000))*1,[1]OUT_TransportEnergyCons!E$3:E$1000)</f>
        <v>4.9215512502227658E-4</v>
      </c>
      <c r="H1402" s="1" cm="1">
        <f t="array" ref="H1402">SUMPRODUCT(("T_B_c-BEVELC-S3"=[1]OUT_TransportEnergyCons!$A$3:$A$1000)*1,("Var_Fin"=[1]OUT_TransportEnergyCons!$B$3:$B$1000)*1,ISNUMBER(SEARCH("ELC",[1]OUT_TransportEnergyCons!$C$3:$C$1000))*1,[1]OUT_TransportEnergyCons!F$3:F$1000)</f>
        <v>6.224517552908148E-4</v>
      </c>
      <c r="I1402" s="1" cm="1">
        <f t="array" ref="I1402">SUMPRODUCT(("T_B_c-BEVELC-S3"=[1]OUT_TransportEnergyCons!$A$3:$A$1000)*1,("Var_Fin"=[1]OUT_TransportEnergyCons!$B$3:$B$1000)*1,ISNUMBER(SEARCH("ELC",[1]OUT_TransportEnergyCons!$C$3:$C$1000))*1,[1]OUT_TransportEnergyCons!G$3:G$1000)</f>
        <v>7.0056262454860777E-4</v>
      </c>
      <c r="J1402" s="1" cm="1">
        <f t="array" ref="J1402">SUMPRODUCT(("T_B_c-BEVELC-S3"=[1]OUT_TransportEnergyCons!$A$3:$A$1000)*1,("Var_Fin"=[1]OUT_TransportEnergyCons!$B$3:$B$1000)*1,ISNUMBER(SEARCH("ELC",[1]OUT_TransportEnergyCons!$C$3:$C$1000))*1,[1]OUT_TransportEnergyCons!H$3:H$1000)</f>
        <v>1.6399765233612608E-3</v>
      </c>
      <c r="K1402" s="1" cm="1">
        <f t="array" ref="K1402">SUMPRODUCT(("T_B_c-BEVELC-S3"=[1]OUT_TransportEnergyCons!$A$3:$A$1000)*1,("Var_Fin"=[1]OUT_TransportEnergyCons!$B$3:$B$1000)*1,ISNUMBER(SEARCH("ELC",[1]OUT_TransportEnergyCons!$C$3:$C$1000))*1,[1]OUT_TransportEnergyCons!I$3:I$1000)</f>
        <v>8.4665956795870821E-4</v>
      </c>
    </row>
    <row r="1403" spans="2:11" x14ac:dyDescent="0.35">
      <c r="B1403" s="5" t="str">
        <f t="shared" si="834"/>
        <v>SPS4</v>
      </c>
      <c r="C1403" s="5" t="str">
        <f t="shared" si="846"/>
        <v>CH</v>
      </c>
      <c r="D1403" t="s">
        <v>1401</v>
      </c>
      <c r="E1403" t="s">
        <v>8</v>
      </c>
      <c r="F1403" s="1" cm="1">
        <f t="array" ref="F1403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3" s="1" cm="1">
        <f t="array" ref="G1403">SUMPRODUCT(("T_B_c-BEVELC-S4"=[1]OUT_TransportEnergyCons!$A$3:$A$1000)*1,("Var_Fin"=[1]OUT_TransportEnergyCons!$B$3:$B$1000)*1,ISNUMBER(SEARCH("ELC",[1]OUT_TransportEnergyCons!$C$3:$C$1000))*1,[1]OUT_TransportEnergyCons!E$3:E$1000)</f>
        <v>5.6421837223398052E-5</v>
      </c>
      <c r="H1403" s="1" cm="1">
        <f t="array" ref="H1403">SUMPRODUCT(("T_B_c-BEVELC-S4"=[1]OUT_TransportEnergyCons!$A$3:$A$1000)*1,("Var_Fin"=[1]OUT_TransportEnergyCons!$B$3:$B$1000)*1,ISNUMBER(SEARCH("ELC",[1]OUT_TransportEnergyCons!$C$3:$C$1000))*1,[1]OUT_TransportEnergyCons!F$3:F$1000)</f>
        <v>1.1188082804122243E-4</v>
      </c>
      <c r="I1403" s="1" cm="1">
        <f t="array" ref="I1403">SUMPRODUCT(("T_B_c-BEVELC-S4"=[1]OUT_TransportEnergyCons!$A$3:$A$1000)*1,("Var_Fin"=[1]OUT_TransportEnergyCons!$B$3:$B$1000)*1,ISNUMBER(SEARCH("ELC",[1]OUT_TransportEnergyCons!$C$3:$C$1000))*1,[1]OUT_TransportEnergyCons!G$3:G$1000)</f>
        <v>8.4341617236220642E-5</v>
      </c>
      <c r="J1403" s="1" cm="1">
        <f t="array" ref="J1403">SUMPRODUCT(("T_B_c-BEVELC-S4"=[1]OUT_TransportEnergyCons!$A$3:$A$1000)*1,("Var_Fin"=[1]OUT_TransportEnergyCons!$B$3:$B$1000)*1,ISNUMBER(SEARCH("ELC",[1]OUT_TransportEnergyCons!$C$3:$C$1000))*1,[1]OUT_TransportEnergyCons!H$3:H$1000)</f>
        <v>1.2540883420987677E-4</v>
      </c>
      <c r="K1403" s="1" cm="1">
        <f t="array" ref="K1403">SUMPRODUCT(("T_B_c-BEVELC-S4"=[1]OUT_TransportEnergyCons!$A$3:$A$1000)*1,("Var_Fin"=[1]OUT_TransportEnergyCons!$B$3:$B$1000)*1,ISNUMBER(SEARCH("ELC",[1]OUT_TransportEnergyCons!$C$3:$C$1000))*1,[1]OUT_TransportEnergyCons!I$3:I$1000)</f>
        <v>3.8902233105144584E-5</v>
      </c>
    </row>
    <row r="1404" spans="2:11" x14ac:dyDescent="0.35">
      <c r="B1404" s="5" t="str">
        <f t="shared" si="834"/>
        <v>SPS4</v>
      </c>
      <c r="C1404" s="5" t="str">
        <f t="shared" si="846"/>
        <v>CH</v>
      </c>
      <c r="D1404" t="s">
        <v>1402</v>
      </c>
      <c r="E1404" t="s">
        <v>8</v>
      </c>
      <c r="F1404" s="1">
        <f>SUM(F1405:F1408)</f>
        <v>0</v>
      </c>
      <c r="G1404" s="1">
        <f t="shared" ref="G1404" si="847">SUM(G1405:G1408)</f>
        <v>0</v>
      </c>
      <c r="H1404" s="1">
        <f t="shared" ref="H1404" si="848">SUM(H1405:H1408)</f>
        <v>0</v>
      </c>
      <c r="I1404" s="1">
        <f t="shared" ref="I1404" si="849">SUM(I1405:I1408)</f>
        <v>1.0716339741866815E-5</v>
      </c>
      <c r="J1404" s="1">
        <f t="shared" ref="J1404" si="850">SUM(J1405:J1408)</f>
        <v>0</v>
      </c>
      <c r="K1404" s="1">
        <f t="shared" ref="K1404" si="851">SUM(K1405:K1408)</f>
        <v>0</v>
      </c>
    </row>
    <row r="1405" spans="2:11" x14ac:dyDescent="0.35">
      <c r="B1405" s="5" t="str">
        <f t="shared" si="834"/>
        <v>SPS4</v>
      </c>
      <c r="C1405" s="5" t="str">
        <f t="shared" si="846"/>
        <v>CH</v>
      </c>
      <c r="D1405" t="s">
        <v>1403</v>
      </c>
      <c r="E1405" t="s">
        <v>8</v>
      </c>
      <c r="F1405" s="1" cm="1">
        <f t="array" ref="F1405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5" s="1" cm="1">
        <f t="array" ref="G1405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5" s="1" cm="1">
        <f t="array" ref="H1405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5" s="1" cm="1">
        <f t="array" ref="I1405">SUMPRODUCT(("T_B_c-FCLH2O-S1"=[1]OUT_TransportEnergyCons!$A$3:$A$1000)*1,("Var_Fin"=[1]OUT_TransportEnergyCons!$B$3:$B$1000)*1,ISNUMBER(SEARCH("H2",[1]OUT_TransportEnergyCons!$C$3:$C$1000))*1,[1]OUT_TransportEnergyCons!G$3:G$1000)</f>
        <v>1.460722279801001E-6</v>
      </c>
      <c r="J1405" s="1" cm="1">
        <f t="array" ref="J1405">SUMPRODUCT(("T_B_c-FCLH2O-S1"=[1]OUT_TransportEnergyCons!$A$3:$A$1000)*1,("Var_Fin"=[1]OUT_TransportEnergyCons!$B$3:$B$1000)*1,ISNUMBER(SEARCH("H2",[1]OUT_TransportEnergyCons!$C$3:$C$1000))*1,[1]OUT_TransportEnergyCons!H$3:H$1000)</f>
        <v>0</v>
      </c>
      <c r="K1405" s="1" cm="1">
        <f t="array" ref="K1405">SUMPRODUCT(("T_B_c-FCLH2O-S1"=[1]OUT_TransportEnergyCons!$A$3:$A$1000)*1,("Var_Fin"=[1]OUT_TransportEnergyCons!$B$3:$B$1000)*1,ISNUMBER(SEARCH("H2",[1]OUT_TransportEnergyCons!$C$3:$C$1000))*1,[1]OUT_TransportEnergyCons!I$3:I$1000)</f>
        <v>0</v>
      </c>
    </row>
    <row r="1406" spans="2:11" x14ac:dyDescent="0.35">
      <c r="B1406" s="5" t="str">
        <f t="shared" si="834"/>
        <v>SPS4</v>
      </c>
      <c r="C1406" s="5" t="str">
        <f t="shared" si="846"/>
        <v>CH</v>
      </c>
      <c r="D1406" t="s">
        <v>1404</v>
      </c>
      <c r="E1406" t="s">
        <v>8</v>
      </c>
      <c r="F1406" s="1" cm="1">
        <f t="array" ref="F1406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6" s="1" cm="1">
        <f t="array" ref="G1406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6" s="1" cm="1">
        <f t="array" ref="H1406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6" s="1" cm="1">
        <f t="array" ref="I1406">SUMPRODUCT(("T_B_c-FCLH2O-S2"=[1]OUT_TransportEnergyCons!$A$3:$A$1000)*1,("Var_Fin"=[1]OUT_TransportEnergyCons!$B$3:$B$1000)*1,ISNUMBER(SEARCH("H2",[1]OUT_TransportEnergyCons!$C$3:$C$1000))*1,[1]OUT_TransportEnergyCons!G$3:G$1000)</f>
        <v>3.7109940644012558E-6</v>
      </c>
      <c r="J1406" s="1" cm="1">
        <f t="array" ref="J1406">SUMPRODUCT(("T_B_c-FCLH2O-S2"=[1]OUT_TransportEnergyCons!$A$3:$A$1000)*1,("Var_Fin"=[1]OUT_TransportEnergyCons!$B$3:$B$1000)*1,ISNUMBER(SEARCH("H2",[1]OUT_TransportEnergyCons!$C$3:$C$1000))*1,[1]OUT_TransportEnergyCons!H$3:H$1000)</f>
        <v>0</v>
      </c>
      <c r="K1406" s="1" cm="1">
        <f t="array" ref="K1406">SUMPRODUCT(("T_B_c-FCLH2O-S2"=[1]OUT_TransportEnergyCons!$A$3:$A$1000)*1,("Var_Fin"=[1]OUT_TransportEnergyCons!$B$3:$B$1000)*1,ISNUMBER(SEARCH("H2",[1]OUT_TransportEnergyCons!$C$3:$C$1000))*1,[1]OUT_TransportEnergyCons!I$3:I$1000)</f>
        <v>0</v>
      </c>
    </row>
    <row r="1407" spans="2:11" x14ac:dyDescent="0.35">
      <c r="B1407" s="5" t="str">
        <f t="shared" si="834"/>
        <v>SPS4</v>
      </c>
      <c r="C1407" s="5" t="str">
        <f t="shared" si="846"/>
        <v>CH</v>
      </c>
      <c r="D1407" t="s">
        <v>1405</v>
      </c>
      <c r="E1407" t="s">
        <v>8</v>
      </c>
      <c r="F1407" s="1" cm="1">
        <f t="array" ref="F1407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SUMPRODUCT(("T_B_c-FCLH2O-S3"=[1]OUT_TransportEnergyCons!$A$3:$A$1000)*1,("Var_Fin"=[1]OUT_TransportEnergyCons!$B$3:$B$1000)*1,ISNUMBER(SEARCH("H2",[1]OUT_TransportEnergyCons!$C$3:$C$1000))*1,[1]OUT_TransportEnergyCons!G$3:G$1000)</f>
        <v>5.5446233976645578E-6</v>
      </c>
      <c r="J1407" s="1" cm="1">
        <f t="array" ref="J1407">SUMPRODUCT(("T_B_c-FCLH2O-S3"=[1]OUT_TransportEnergyCons!$A$3:$A$1000)*1,("Var_Fin"=[1]OUT_TransportEnergyCons!$B$3:$B$1000)*1,ISNUMBER(SEARCH("H2",[1]OUT_TransportEnergyCons!$C$3:$C$1000))*1,[1]OUT_TransportEnergyCons!H$3:H$1000)</f>
        <v>0</v>
      </c>
      <c r="K1407" s="1" cm="1">
        <f t="array" ref="K1407">SUMPRODUCT(("T_B_c-FCLH2O-S3"=[1]OUT_TransportEnergyCons!$A$3:$A$1000)*1,("Var_Fin"=[1]OUT_TransportEnergyCons!$B$3:$B$1000)*1,ISNUMBER(SEARCH("H2",[1]OUT_TransportEnergyCons!$C$3:$C$1000))*1,[1]OUT_TransportEnergyCons!I$3:I$1000)</f>
        <v>0</v>
      </c>
    </row>
    <row r="1408" spans="2:11" x14ac:dyDescent="0.35">
      <c r="B1408" s="5" t="str">
        <f t="shared" si="834"/>
        <v>SPS4</v>
      </c>
      <c r="C1408" s="5" t="str">
        <f t="shared" si="846"/>
        <v>CH</v>
      </c>
      <c r="D1408" t="s">
        <v>1406</v>
      </c>
      <c r="E1408" t="s">
        <v>8</v>
      </c>
      <c r="F1408" s="1" cm="1">
        <f t="array" ref="F1408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08" s="1" cm="1">
        <f t="array" ref="J1408">SUMPRODUCT(("T_B_c-FCLH2O-S4"=[1]OUT_TransportEnergyCons!$A$3:$A$1000)*1,("Var_Fin"=[1]OUT_TransportEnergyCons!$B$3:$B$1000)*1,ISNUMBER(SEARCH("H2",[1]OUT_TransportEnergyCons!$C$3:$C$1000))*1,[1]OUT_TransportEnergyCons!H$3:H$1000)</f>
        <v>0</v>
      </c>
      <c r="K1408" s="1" cm="1">
        <f t="array" ref="K1408">SUMPRODUCT(("T_B_c-FCLH2O-S4"=[1]OUT_TransportEnergyCons!$A$3:$A$1000)*1,("Var_Fin"=[1]OUT_TransportEnergyCons!$B$3:$B$1000)*1,ISNUMBER(SEARCH("H2",[1]OUT_TransportEnergyCons!$C$3:$C$1000))*1,[1]OUT_TransportEnergyCons!I$3:I$1000)</f>
        <v>0</v>
      </c>
    </row>
    <row r="1409" spans="2:11" x14ac:dyDescent="0.35">
      <c r="B1409" s="5" t="str">
        <f t="shared" si="834"/>
        <v>SPS4</v>
      </c>
      <c r="C1409" s="5" t="str">
        <f t="shared" si="846"/>
        <v>CH</v>
      </c>
      <c r="D1409" t="s">
        <v>1407</v>
      </c>
      <c r="E1409" t="s">
        <v>8</v>
      </c>
      <c r="F1409" s="1">
        <f>SUM(F1414:F1422)</f>
        <v>0.81196797432794876</v>
      </c>
      <c r="G1409" s="1">
        <f t="shared" ref="G1409:K1409" si="852">SUM(G1414:G1422)</f>
        <v>0.84511668596563572</v>
      </c>
      <c r="H1409" s="1">
        <f t="shared" si="852"/>
        <v>1.017076598718611</v>
      </c>
      <c r="I1409" s="1">
        <f t="shared" si="852"/>
        <v>0.40479665219728306</v>
      </c>
      <c r="J1409" s="1">
        <f t="shared" si="852"/>
        <v>0.36579056314220348</v>
      </c>
      <c r="K1409" s="1">
        <f t="shared" si="852"/>
        <v>0.33028151239384934</v>
      </c>
    </row>
    <row r="1410" spans="2:11" x14ac:dyDescent="0.35">
      <c r="B1410" s="5" t="str">
        <f t="shared" si="834"/>
        <v>SPS4</v>
      </c>
      <c r="C1410" s="5" t="str">
        <f t="shared" si="846"/>
        <v>CH</v>
      </c>
      <c r="D1410" t="s">
        <v>1408</v>
      </c>
      <c r="E1410" t="s">
        <v>8</v>
      </c>
      <c r="F1410" s="1">
        <f>F1409-F1411</f>
        <v>0.79179102022104664</v>
      </c>
      <c r="G1410" s="1">
        <f t="shared" ref="G1410" si="853">G1409-G1411</f>
        <v>0.8230923272556725</v>
      </c>
      <c r="H1410" s="1">
        <f t="shared" ref="H1410" si="854">H1409-H1411</f>
        <v>0.97143960363077486</v>
      </c>
      <c r="I1410" s="1">
        <f t="shared" ref="I1410" si="855">I1409-I1411</f>
        <v>0.38675282354424495</v>
      </c>
      <c r="J1410" s="1">
        <f t="shared" ref="J1410" si="856">J1409-J1411</f>
        <v>0.34555685232934974</v>
      </c>
      <c r="K1410" s="1">
        <f t="shared" ref="K1410" si="857">K1409-K1411</f>
        <v>0.31672527023584046</v>
      </c>
    </row>
    <row r="1411" spans="2:11" x14ac:dyDescent="0.35">
      <c r="B1411" s="5" t="str">
        <f t="shared" si="834"/>
        <v>SPS4</v>
      </c>
      <c r="C1411" s="5" t="str">
        <f t="shared" si="846"/>
        <v>CH</v>
      </c>
      <c r="D1411" t="s">
        <v>1409</v>
      </c>
      <c r="E1411" t="s">
        <v>8</v>
      </c>
      <c r="F1411" s="1">
        <f>SUM(F1412:F1413)</f>
        <v>2.0176954106902126E-2</v>
      </c>
      <c r="G1411" s="1">
        <f t="shared" ref="G1411" si="858">SUM(G1412:G1413)</f>
        <v>2.202435870996319E-2</v>
      </c>
      <c r="H1411" s="1">
        <f t="shared" ref="H1411" si="859">SUM(H1412:H1413)</f>
        <v>4.5636995087836099E-2</v>
      </c>
      <c r="I1411" s="1">
        <f t="shared" ref="I1411" si="860">SUM(I1412:I1413)</f>
        <v>1.8043828653038118E-2</v>
      </c>
      <c r="J1411" s="1">
        <f t="shared" ref="J1411" si="861">SUM(J1412:J1413)</f>
        <v>2.0233710812853752E-2</v>
      </c>
      <c r="K1411" s="1">
        <f t="shared" ref="K1411" si="862">SUM(K1412:K1413)</f>
        <v>1.3556242158008906E-2</v>
      </c>
    </row>
    <row r="1412" spans="2:11" x14ac:dyDescent="0.35">
      <c r="B1412" s="5" t="str">
        <f t="shared" si="834"/>
        <v>SPS4</v>
      </c>
      <c r="C1412" s="5" t="str">
        <f t="shared" si="846"/>
        <v>CH</v>
      </c>
      <c r="D1412" t="s">
        <v>1410</v>
      </c>
      <c r="E1412" t="s">
        <v>8</v>
      </c>
      <c r="F1412" s="1">
        <f>[1]Transport!B$26/SUM([1]Transport!B$22,[1]Transport!B$26)*F1409*(F$33+F$580)/(F$33+F$580+F$36)</f>
        <v>2.0176954106902126E-2</v>
      </c>
      <c r="G1412" s="1">
        <f>[1]Transport!C$26/SUM([1]Transport!C$22,[1]Transport!C$26)*G1409*(G$33+G$580)/(G$33+G$580+G$36)</f>
        <v>2.202435870996319E-2</v>
      </c>
      <c r="H1412" s="1">
        <f>[1]Transport!D$26/SUM([1]Transport!D$22,[1]Transport!D$26)*H1409*(H$33+H$580)/(H$33+H$580+H$36)</f>
        <v>4.5636995087836099E-2</v>
      </c>
      <c r="I1412" s="1">
        <f>[1]Transport!E$26/SUM([1]Transport!E$22,[1]Transport!E$26)*I1409*(I$33+I$580)/(I$33+I$580+I$36)</f>
        <v>1.8043828653038118E-2</v>
      </c>
      <c r="J1412" s="1">
        <f>[1]Transport!F$26/SUM([1]Transport!F$22,[1]Transport!F$26)*J1409*(J$33+J$580)/(J$33+J$580+J$36)</f>
        <v>1.2987055937470871E-2</v>
      </c>
      <c r="K1412" s="1">
        <f>[1]Transport!G$26/SUM([1]Transport!G$22,[1]Transport!G$26)*K1409*(K$33+K$580)/(K$33+K$580+K$36)</f>
        <v>1.3556242158008906E-2</v>
      </c>
    </row>
    <row r="1413" spans="2:11" x14ac:dyDescent="0.35">
      <c r="B1413" s="5" t="str">
        <f t="shared" si="834"/>
        <v>SPS4</v>
      </c>
      <c r="C1413" s="5" t="str">
        <f t="shared" si="846"/>
        <v>CH</v>
      </c>
      <c r="D1413" t="s">
        <v>1411</v>
      </c>
      <c r="E1413" t="s">
        <v>8</v>
      </c>
      <c r="F1413" s="1">
        <f>(F$36+F$716)/([1]Transport!B$22+[1]Transport!B$26)*F1409</f>
        <v>0</v>
      </c>
      <c r="G1413" s="1">
        <f>(G$36+G$716)/([1]Transport!C$22+[1]Transport!C$26)*G1409</f>
        <v>0</v>
      </c>
      <c r="H1413" s="1">
        <f>(H$36+H$716)/([1]Transport!D$22+[1]Transport!D$26)*H1409</f>
        <v>0</v>
      </c>
      <c r="I1413" s="1">
        <f>(I$36+I$716)/([1]Transport!E$22+[1]Transport!E$26)*I1409</f>
        <v>0</v>
      </c>
      <c r="J1413" s="1">
        <f>(J$36+J$716)/([1]Transport!F$22+[1]Transport!F$26)*J1409</f>
        <v>7.2466548753828816E-3</v>
      </c>
      <c r="K1413" s="1">
        <f>(K$36+K$716)/([1]Transport!G$22+[1]Transport!G$26)*K1409</f>
        <v>0</v>
      </c>
    </row>
    <row r="1414" spans="2:11" x14ac:dyDescent="0.35">
      <c r="B1414" s="5" t="str">
        <f t="shared" si="834"/>
        <v>SPS4</v>
      </c>
      <c r="C1414" s="5" t="str">
        <f t="shared" si="846"/>
        <v>CH</v>
      </c>
      <c r="D1414" t="s">
        <v>1412</v>
      </c>
      <c r="E1414" t="s">
        <v>8</v>
      </c>
      <c r="F1414" s="1" cm="1">
        <f t="array" ref="F1414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4" s="1" cm="1">
        <f t="array" ref="G1414">SUMPRODUCT(("T_B_c-HYBDSL-S1"=[1]OUT_TransportEnergyCons!$A$3:$A$1000)*1,("Var_Fin"=[1]OUT_TransportEnergyCons!$B$3:$B$1000)*1,ISNUMBER(SEARCH("DSL",[1]OUT_TransportEnergyCons!$C$3:$C$1000))*1,[1]OUT_TransportEnergyCons!E$3:E$1000)</f>
        <v>1.3886288804332114E-3</v>
      </c>
      <c r="H1414" s="1" cm="1">
        <f t="array" ref="H1414">SUMPRODUCT(("T_B_c-HYBDSL-S1"=[1]OUT_TransportEnergyCons!$A$3:$A$1000)*1,("Var_Fin"=[1]OUT_TransportEnergyCons!$B$3:$B$1000)*1,ISNUMBER(SEARCH("DSL",[1]OUT_TransportEnergyCons!$C$3:$C$1000))*1,[1]OUT_TransportEnergyCons!F$3:F$1000)</f>
        <v>1.8192422365205887E-3</v>
      </c>
      <c r="I1414" s="1" cm="1">
        <f t="array" ref="I1414">SUMPRODUCT(("T_B_c-HYBDSL-S1"=[1]OUT_TransportEnergyCons!$A$3:$A$1000)*1,("Var_Fin"=[1]OUT_TransportEnergyCons!$B$3:$B$1000)*1,ISNUMBER(SEARCH("DSL",[1]OUT_TransportEnergyCons!$C$3:$C$1000))*1,[1]OUT_TransportEnergyCons!G$3:G$1000)</f>
        <v>1.0161968451287186E-3</v>
      </c>
      <c r="J1414" s="1" cm="1">
        <f t="array" ref="J1414">SUMPRODUCT(("T_B_c-HYBDSL-S1"=[1]OUT_TransportEnergyCons!$A$3:$A$1000)*1,("Var_Fin"=[1]OUT_TransportEnergyCons!$B$3:$B$1000)*1,ISNUMBER(SEARCH("DSL",[1]OUT_TransportEnergyCons!$C$3:$C$1000))*1,[1]OUT_TransportEnergyCons!H$3:H$1000)</f>
        <v>5.2950126300072417E-3</v>
      </c>
      <c r="K1414" s="1" cm="1">
        <f t="array" ref="K1414">SUMPRODUCT(("T_B_c-HYBDSL-S1"=[1]OUT_TransportEnergyCons!$A$3:$A$1000)*1,("Var_Fin"=[1]OUT_TransportEnergyCons!$B$3:$B$1000)*1,ISNUMBER(SEARCH("DSL",[1]OUT_TransportEnergyCons!$C$3:$C$1000))*1,[1]OUT_TransportEnergyCons!I$3:I$1000)</f>
        <v>1.9843027899723452E-3</v>
      </c>
    </row>
    <row r="1415" spans="2:11" x14ac:dyDescent="0.35">
      <c r="B1415" s="5" t="str">
        <f t="shared" si="834"/>
        <v>SPS4</v>
      </c>
      <c r="C1415" s="5" t="str">
        <f t="shared" si="846"/>
        <v>CH</v>
      </c>
      <c r="D1415" t="s">
        <v>1413</v>
      </c>
      <c r="E1415" t="s">
        <v>8</v>
      </c>
      <c r="F1415" s="1" cm="1">
        <f t="array" ref="F1415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5" s="1" cm="1">
        <f t="array" ref="G1415">SUMPRODUCT(("T_B_c-HYBDSL-S2"=[1]OUT_TransportEnergyCons!$A$3:$A$1000)*1,("Var_Fin"=[1]OUT_TransportEnergyCons!$B$3:$B$1000)*1,ISNUMBER(SEARCH("DSL",[1]OUT_TransportEnergyCons!$C$3:$C$1000))*1,[1]OUT_TransportEnergyCons!E$3:E$1000)</f>
        <v>3.6927290841800707E-4</v>
      </c>
      <c r="H1415" s="1" cm="1">
        <f t="array" ref="H1415">SUMPRODUCT(("T_B_c-HYBDSL-S2"=[1]OUT_TransportEnergyCons!$A$3:$A$1000)*1,("Var_Fin"=[1]OUT_TransportEnergyCons!$B$3:$B$1000)*1,ISNUMBER(SEARCH("DSL",[1]OUT_TransportEnergyCons!$C$3:$C$1000))*1,[1]OUT_TransportEnergyCons!F$3:F$1000)</f>
        <v>4.6191102211026763E-2</v>
      </c>
      <c r="I1415" s="1" cm="1">
        <f t="array" ref="I1415">SUMPRODUCT(("T_B_c-HYBDSL-S2"=[1]OUT_TransportEnergyCons!$A$3:$A$1000)*1,("Var_Fin"=[1]OUT_TransportEnergyCons!$B$3:$B$1000)*1,ISNUMBER(SEARCH("DSL",[1]OUT_TransportEnergyCons!$C$3:$C$1000))*1,[1]OUT_TransportEnergyCons!G$3:G$1000)</f>
        <v>0.26689535943199261</v>
      </c>
      <c r="J1415" s="1" cm="1">
        <f t="array" ref="J1415">SUMPRODUCT(("T_B_c-HYBDSL-S2"=[1]OUT_TransportEnergyCons!$A$3:$A$1000)*1,("Var_Fin"=[1]OUT_TransportEnergyCons!$B$3:$B$1000)*1,ISNUMBER(SEARCH("DSL",[1]OUT_TransportEnergyCons!$C$3:$C$1000))*1,[1]OUT_TransportEnergyCons!H$3:H$1000)</f>
        <v>0.23807022065592987</v>
      </c>
      <c r="K1415" s="1" cm="1">
        <f t="array" ref="K1415">SUMPRODUCT(("T_B_c-HYBDSL-S2"=[1]OUT_TransportEnergyCons!$A$3:$A$1000)*1,("Var_Fin"=[1]OUT_TransportEnergyCons!$B$3:$B$1000)*1,ISNUMBER(SEARCH("DSL",[1]OUT_TransportEnergyCons!$C$3:$C$1000))*1,[1]OUT_TransportEnergyCons!I$3:I$1000)</f>
        <v>0.2172161072276432</v>
      </c>
    </row>
    <row r="1416" spans="2:11" x14ac:dyDescent="0.35">
      <c r="B1416" s="5" t="str">
        <f t="shared" si="834"/>
        <v>SPS4</v>
      </c>
      <c r="C1416" s="5" t="str">
        <f t="shared" si="846"/>
        <v>CH</v>
      </c>
      <c r="D1416" t="s">
        <v>1414</v>
      </c>
      <c r="E1416" t="s">
        <v>8</v>
      </c>
      <c r="F1416" s="1" cm="1">
        <f t="array" ref="F1416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SUMPRODUCT(("T_B_c-HYBDSL-S3"=[1]OUT_TransportEnergyCons!$A$3:$A$1000)*1,("Var_Fin"=[1]OUT_TransportEnergyCons!$B$3:$B$1000)*1,ISNUMBER(SEARCH("DSL",[1]OUT_TransportEnergyCons!$C$3:$C$1000))*1,[1]OUT_TransportEnergyCons!E$3:E$1000)</f>
        <v>2.269055491756528E-4</v>
      </c>
      <c r="H1416" s="1" cm="1">
        <f t="array" ref="H1416">SUMPRODUCT(("T_B_c-HYBDSL-S3"=[1]OUT_TransportEnergyCons!$A$3:$A$1000)*1,("Var_Fin"=[1]OUT_TransportEnergyCons!$B$3:$B$1000)*1,ISNUMBER(SEARCH("DSL",[1]OUT_TransportEnergyCons!$C$3:$C$1000))*1,[1]OUT_TransportEnergyCons!F$3:F$1000)</f>
        <v>3.199536012207529E-3</v>
      </c>
      <c r="I1416" s="1" cm="1">
        <f t="array" ref="I1416">SUMPRODUCT(("T_B_c-HYBDSL-S3"=[1]OUT_TransportEnergyCons!$A$3:$A$1000)*1,("Var_Fin"=[1]OUT_TransportEnergyCons!$B$3:$B$1000)*1,ISNUMBER(SEARCH("DSL",[1]OUT_TransportEnergyCons!$C$3:$C$1000))*1,[1]OUT_TransportEnergyCons!G$3:G$1000)</f>
        <v>0.1368559072560491</v>
      </c>
      <c r="J1416" s="1" cm="1">
        <f t="array" ref="J1416">SUMPRODUCT(("T_B_c-HYBDSL-S3"=[1]OUT_TransportEnergyCons!$A$3:$A$1000)*1,("Var_Fin"=[1]OUT_TransportEnergyCons!$B$3:$B$1000)*1,ISNUMBER(SEARCH("DSL",[1]OUT_TransportEnergyCons!$C$3:$C$1000))*1,[1]OUT_TransportEnergyCons!H$3:H$1000)</f>
        <v>0.12238133853283426</v>
      </c>
      <c r="K1416" s="1" cm="1">
        <f t="array" ref="K1416">SUMPRODUCT(("T_B_c-HYBDSL-S3"=[1]OUT_TransportEnergyCons!$A$3:$A$1000)*1,("Var_Fin"=[1]OUT_TransportEnergyCons!$B$3:$B$1000)*1,ISNUMBER(SEARCH("DSL",[1]OUT_TransportEnergyCons!$C$3:$C$1000))*1,[1]OUT_TransportEnergyCons!I$3:I$1000)</f>
        <v>0.11107833334380818</v>
      </c>
    </row>
    <row r="1417" spans="2:11" x14ac:dyDescent="0.35">
      <c r="B1417" s="5" t="str">
        <f t="shared" si="834"/>
        <v>SPS4</v>
      </c>
      <c r="C1417" s="5" t="str">
        <f t="shared" si="846"/>
        <v>CH</v>
      </c>
      <c r="D1417" t="s">
        <v>1415</v>
      </c>
      <c r="E1417" t="s">
        <v>8</v>
      </c>
      <c r="F1417" s="1" cm="1">
        <f t="array" ref="F1417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SUMPRODUCT(("T_B_c-HYBDSL-S4"=[1]OUT_TransportEnergyCons!$A$3:$A$1000)*1,("Var_Fin"=[1]OUT_TransportEnergyCons!$B$3:$B$1000)*1,ISNUMBER(SEARCH("DSL",[1]OUT_TransportEnergyCons!$C$3:$C$1000))*1,[1]OUT_TransportEnergyCons!E$3:E$1000)</f>
        <v>2.1516803255018695E-5</v>
      </c>
      <c r="H1417" s="1" cm="1">
        <f t="array" ref="H1417">SUMPRODUCT(("T_B_c-HYBDSL-S4"=[1]OUT_TransportEnergyCons!$A$3:$A$1000)*1,("Var_Fin"=[1]OUT_TransportEnergyCons!$B$3:$B$1000)*1,ISNUMBER(SEARCH("DSL",[1]OUT_TransportEnergyCons!$C$3:$C$1000))*1,[1]OUT_TransportEnergyCons!F$3:F$1000)</f>
        <v>4.4487013503831865E-5</v>
      </c>
      <c r="I1417" s="1" cm="1">
        <f t="array" ref="I1417">SUMPRODUCT(("T_B_c-HYBDSL-S4"=[1]OUT_TransportEnergyCons!$A$3:$A$1000)*1,("Var_Fin"=[1]OUT_TransportEnergyCons!$B$3:$B$1000)*1,ISNUMBER(SEARCH("DSL",[1]OUT_TransportEnergyCons!$C$3:$C$1000))*1,[1]OUT_TransportEnergyCons!G$3:G$1000)</f>
        <v>2.9188664112642231E-5</v>
      </c>
      <c r="J1417" s="1" cm="1">
        <f t="array" ref="J1417">SUMPRODUCT(("T_B_c-HYBDSL-S4"=[1]OUT_TransportEnergyCons!$A$3:$A$1000)*1,("Var_Fin"=[1]OUT_TransportEnergyCons!$B$3:$B$1000)*1,ISNUMBER(SEARCH("DSL",[1]OUT_TransportEnergyCons!$C$3:$C$1000))*1,[1]OUT_TransportEnergyCons!H$3:H$1000)</f>
        <v>4.3991323432121512E-5</v>
      </c>
      <c r="K1417" s="1" cm="1">
        <f t="array" ref="K1417">SUMPRODUCT(("T_B_c-HYBDSL-S4"=[1]OUT_TransportEnergyCons!$A$3:$A$1000)*1,("Var_Fin"=[1]OUT_TransportEnergyCons!$B$3:$B$1000)*1,ISNUMBER(SEARCH("DSL",[1]OUT_TransportEnergyCons!$C$3:$C$1000))*1,[1]OUT_TransportEnergyCons!I$3:I$1000)</f>
        <v>2.7690324256569285E-6</v>
      </c>
    </row>
    <row r="1418" spans="2:11" x14ac:dyDescent="0.35">
      <c r="B1418" s="5" t="str">
        <f t="shared" si="834"/>
        <v>SPS4</v>
      </c>
      <c r="C1418" s="5" t="str">
        <f t="shared" si="846"/>
        <v>CH</v>
      </c>
      <c r="D1418" t="s">
        <v>2116</v>
      </c>
      <c r="E1418" t="s">
        <v>8</v>
      </c>
      <c r="F1418" s="1" cm="1">
        <f t="array" ref="F1418">SUMPRODUCT(("T_B_c-ICEDSLEXT"=[1]OUT_TransportEnergyCons!$A$3:$A$1000)*1,("Var_Fin"=[1]OUT_TransportEnergyCons!$B$3:$B$1000)*1,ISNUMBER(SEARCH("DSL",[1]OUT_TransportEnergyCons!$C$3:$C$1000))*1,[1]OUT_TransportEnergyCons!D$3:D$1000)</f>
        <v>6.0280730312807394E-3</v>
      </c>
      <c r="G1418" s="1" cm="1">
        <f t="array" ref="G1418">SUMPRODUCT(("T_B_c-ICEDSLEXT"=[1]OUT_TransportEnergyCons!$A$3:$A$1000)*1,("Var_Fin"=[1]OUT_TransportEnergyCons!$B$3:$B$1000)*1,ISNUMBER(SEARCH("DSL",[1]OUT_TransportEnergyCons!$C$3:$C$1000))*1,[1]OUT_TransportEnergyCons!E$3:E$1000)</f>
        <v>6.0140636671913578E-3</v>
      </c>
      <c r="H1418" s="1" cm="1">
        <f t="array" ref="H1418">SUMPRODUCT(("T_B_c-ICEDSLEXT"=[1]OUT_TransportEnergyCons!$A$3:$A$1000)*1,("Var_Fin"=[1]OUT_TransportEnergyCons!$B$3:$B$1000)*1,ISNUMBER(SEARCH("DSL",[1]OUT_TransportEnergyCons!$C$3:$C$1000))*1,[1]OUT_TransportEnergyCons!F$3:F$1000)</f>
        <v>5.9702926861644441E-3</v>
      </c>
      <c r="I1418" s="1" cm="1">
        <f t="array" ref="I1418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18" s="1" cm="1">
        <f t="array" ref="J1418">SUMPRODUCT(("T_B_c-ICEDSLEXT"=[1]OUT_TransportEnergyCons!$A$3:$A$1000)*1,("Var_Fin"=[1]OUT_TransportEnergyCons!$B$3:$B$1000)*1,ISNUMBER(SEARCH("DSL",[1]OUT_TransportEnergyCons!$C$3:$C$1000))*1,[1]OUT_TransportEnergyCons!H$3:H$1000)</f>
        <v>0</v>
      </c>
      <c r="K1418" s="1" cm="1">
        <f t="array" ref="K1418">SUMPRODUCT(("T_B_c-ICEDSLEXT"=[1]OUT_TransportEnergyCons!$A$3:$A$1000)*1,("Var_Fin"=[1]OUT_TransportEnergyCons!$B$3:$B$1000)*1,ISNUMBER(SEARCH("DSL",[1]OUT_TransportEnergyCons!$C$3:$C$1000))*1,[1]OUT_TransportEnergyCons!I$3:I$1000)</f>
        <v>0</v>
      </c>
    </row>
    <row r="1419" spans="2:11" x14ac:dyDescent="0.35">
      <c r="B1419" s="5" t="str">
        <f t="shared" si="834"/>
        <v>SPS4</v>
      </c>
      <c r="C1419" s="5" t="str">
        <f t="shared" si="846"/>
        <v>CH</v>
      </c>
      <c r="D1419" t="s">
        <v>1416</v>
      </c>
      <c r="E1419" t="s">
        <v>8</v>
      </c>
      <c r="F1419" s="1" cm="1">
        <f t="array" ref="F1419">SUMPRODUCT(("T_B_c-ICEDSL-S1"=[1]OUT_TransportEnergyCons!$A$3:$A$1000)*1,("Var_Fin"=[1]OUT_TransportEnergyCons!$B$3:$B$1000)*1,ISNUMBER(SEARCH("DSL",[1]OUT_TransportEnergyCons!$C$3:$C$1000))*1,[1]OUT_TransportEnergyCons!D$3:D$1000)</f>
        <v>0.11345945117423699</v>
      </c>
      <c r="G1419" s="1" cm="1">
        <f t="array" ref="G1419">SUMPRODUCT(("T_B_c-ICEDSL-S1"=[1]OUT_TransportEnergyCons!$A$3:$A$1000)*1,("Var_Fin"=[1]OUT_TransportEnergyCons!$B$3:$B$1000)*1,ISNUMBER(SEARCH("DSL",[1]OUT_TransportEnergyCons!$C$3:$C$1000))*1,[1]OUT_TransportEnergyCons!E$3:E$1000)</f>
        <v>0.31029421277761587</v>
      </c>
      <c r="H1419" s="1" cm="1">
        <f t="array" ref="H1419">SUMPRODUCT(("T_B_c-ICEDSL-S1"=[1]OUT_TransportEnergyCons!$A$3:$A$1000)*1,("Var_Fin"=[1]OUT_TransportEnergyCons!$B$3:$B$1000)*1,ISNUMBER(SEARCH("DSL",[1]OUT_TransportEnergyCons!$C$3:$C$1000))*1,[1]OUT_TransportEnergyCons!F$3:F$1000)</f>
        <v>0.37759149661407332</v>
      </c>
      <c r="I1419" s="1" cm="1">
        <f t="array" ref="I1419">SUMPRODUCT(("T_B_c-ICEDSL-S1"=[1]OUT_TransportEnergyCons!$A$3:$A$1000)*1,("Var_Fin"=[1]OUT_TransportEnergyCons!$B$3:$B$1000)*1,ISNUMBER(SEARCH("DSL",[1]OUT_TransportEnergyCons!$C$3:$C$1000))*1,[1]OUT_TransportEnergyCons!G$3:G$1000)</f>
        <v>0</v>
      </c>
      <c r="J1419" s="1" cm="1">
        <f t="array" ref="J1419">SUMPRODUCT(("T_B_c-ICEDSL-S1"=[1]OUT_TransportEnergyCons!$A$3:$A$1000)*1,("Var_Fin"=[1]OUT_TransportEnergyCons!$B$3:$B$1000)*1,ISNUMBER(SEARCH("DSL",[1]OUT_TransportEnergyCons!$C$3:$C$1000))*1,[1]OUT_TransportEnergyCons!H$3:H$1000)</f>
        <v>0</v>
      </c>
      <c r="K1419" s="1" cm="1">
        <f t="array" ref="K1419">SUMPRODUCT(("T_B_c-ICEDSL-S1"=[1]OUT_TransportEnergyCons!$A$3:$A$1000)*1,("Var_Fin"=[1]OUT_TransportEnergyCons!$B$3:$B$1000)*1,ISNUMBER(SEARCH("DSL",[1]OUT_TransportEnergyCons!$C$3:$C$1000))*1,[1]OUT_TransportEnergyCons!I$3:I$1000)</f>
        <v>0</v>
      </c>
    </row>
    <row r="1420" spans="2:11" x14ac:dyDescent="0.35">
      <c r="B1420" s="5" t="str">
        <f t="shared" si="834"/>
        <v>SPS4</v>
      </c>
      <c r="C1420" s="5" t="str">
        <f t="shared" si="846"/>
        <v>CH</v>
      </c>
      <c r="D1420" t="s">
        <v>1417</v>
      </c>
      <c r="E1420" t="s">
        <v>8</v>
      </c>
      <c r="F1420" s="1" cm="1">
        <f t="array" ref="F1420">SUMPRODUCT(("T_B_c-ICEDSL-S2"=[1]OUT_TransportEnergyCons!$A$3:$A$1000)*1,("Var_Fin"=[1]OUT_TransportEnergyCons!$B$3:$B$1000)*1,ISNUMBER(SEARCH("DSL",[1]OUT_TransportEnergyCons!$C$3:$C$1000))*1,[1]OUT_TransportEnergyCons!D$3:D$1000)</f>
        <v>0.51947482197789829</v>
      </c>
      <c r="G1420" s="1" cm="1">
        <f t="array" ref="G1420">SUMPRODUCT(("T_B_c-ICEDSL-S2"=[1]OUT_TransportEnergyCons!$A$3:$A$1000)*1,("Var_Fin"=[1]OUT_TransportEnergyCons!$B$3:$B$1000)*1,ISNUMBER(SEARCH("DSL",[1]OUT_TransportEnergyCons!$C$3:$C$1000))*1,[1]OUT_TransportEnergyCons!E$3:E$1000)</f>
        <v>0.39894345384022001</v>
      </c>
      <c r="H1420" s="1" cm="1">
        <f t="array" ref="H1420">SUMPRODUCT(("T_B_c-ICEDSL-S2"=[1]OUT_TransportEnergyCons!$A$3:$A$1000)*1,("Var_Fin"=[1]OUT_TransportEnergyCons!$B$3:$B$1000)*1,ISNUMBER(SEARCH("DSL",[1]OUT_TransportEnergyCons!$C$3:$C$1000))*1,[1]OUT_TransportEnergyCons!F$3:F$1000)</f>
        <v>0.42849188513629038</v>
      </c>
      <c r="I1420" s="1" cm="1">
        <f t="array" ref="I1420">SUMPRODUCT(("T_B_c-ICEDSL-S2"=[1]OUT_TransportEnergyCons!$A$3:$A$1000)*1,("Var_Fin"=[1]OUT_TransportEnergyCons!$B$3:$B$1000)*1,ISNUMBER(SEARCH("DSL",[1]OUT_TransportEnergyCons!$C$3:$C$1000))*1,[1]OUT_TransportEnergyCons!G$3:G$1000)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SUMPRODUCT(("T_B_c-ICEDSL-S2"=[1]OUT_TransportEnergyCons!$A$3:$A$1000)*1,("Var_Fin"=[1]OUT_TransportEnergyCons!$B$3:$B$1000)*1,ISNUMBER(SEARCH("DSL",[1]OUT_TransportEnergyCons!$C$3:$C$1000))*1,[1]OUT_TransportEnergyCons!H$3:H$1000)</f>
        <v>0</v>
      </c>
      <c r="K1420" s="1" cm="1">
        <f t="array" ref="K1420">SUMPRODUCT(("T_B_c-ICEDSL-S2"=[1]OUT_TransportEnergyCons!$A$3:$A$1000)*1,("Var_Fin"=[1]OUT_TransportEnergyCons!$B$3:$B$1000)*1,ISNUMBER(SEARCH("DSL",[1]OUT_TransportEnergyCons!$C$3:$C$1000))*1,[1]OUT_TransportEnergyCons!I$3:I$1000)</f>
        <v>0</v>
      </c>
    </row>
    <row r="1421" spans="2:11" x14ac:dyDescent="0.35">
      <c r="B1421" s="5" t="str">
        <f t="shared" si="834"/>
        <v>SPS4</v>
      </c>
      <c r="C1421" s="5" t="str">
        <f t="shared" si="846"/>
        <v>CH</v>
      </c>
      <c r="D1421" t="s">
        <v>1418</v>
      </c>
      <c r="E1421" t="s">
        <v>8</v>
      </c>
      <c r="F1421" s="1" cm="1">
        <f t="array" ref="F1421">SUMPRODUCT(("T_B_c-ICEDSL-S3"=[1]OUT_TransportEnergyCons!$A$3:$A$1000)*1,("Var_Fin"=[1]OUT_TransportEnergyCons!$B$3:$B$1000)*1,ISNUMBER(SEARCH("DSL",[1]OUT_TransportEnergyCons!$C$3:$C$1000))*1,[1]OUT_TransportEnergyCons!D$3:D$1000)</f>
        <v>0.1592540506489119</v>
      </c>
      <c r="G1421" s="1" cm="1">
        <f t="array" ref="G1421">SUMPRODUCT(("T_B_c-ICEDSL-S3"=[1]OUT_TransportEnergyCons!$A$3:$A$1000)*1,("Var_Fin"=[1]OUT_TransportEnergyCons!$B$3:$B$1000)*1,ISNUMBER(SEARCH("DSL",[1]OUT_TransportEnergyCons!$C$3:$C$1000))*1,[1]OUT_TransportEnergyCons!E$3:E$1000)</f>
        <v>0.12772018273818986</v>
      </c>
      <c r="H1421" s="1" cm="1">
        <f t="array" ref="H1421">SUMPRODUCT(("T_B_c-ICEDSL-S3"=[1]OUT_TransportEnergyCons!$A$3:$A$1000)*1,("Var_Fin"=[1]OUT_TransportEnergyCons!$B$3:$B$1000)*1,ISNUMBER(SEARCH("DSL",[1]OUT_TransportEnergyCons!$C$3:$C$1000))*1,[1]OUT_TransportEnergyCons!F$3:F$1000)</f>
        <v>0.15348362351002007</v>
      </c>
      <c r="I1421" s="1" cm="1">
        <f t="array" ref="I1421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1" s="1" cm="1">
        <f t="array" ref="J1421">SUMPRODUCT(("T_B_c-ICEDSL-S3"=[1]OUT_TransportEnergyCons!$A$3:$A$1000)*1,("Var_Fin"=[1]OUT_TransportEnergyCons!$B$3:$B$1000)*1,ISNUMBER(SEARCH("DSL",[1]OUT_TransportEnergyCons!$C$3:$C$1000))*1,[1]OUT_TransportEnergyCons!H$3:H$1000)</f>
        <v>0</v>
      </c>
      <c r="K1421" s="1" cm="1">
        <f t="array" ref="K1421">SUMPRODUCT(("T_B_c-ICEDSL-S3"=[1]OUT_TransportEnergyCons!$A$3:$A$1000)*1,("Var_Fin"=[1]OUT_TransportEnergyCons!$B$3:$B$1000)*1,ISNUMBER(SEARCH("DSL",[1]OUT_TransportEnergyCons!$C$3:$C$1000))*1,[1]OUT_TransportEnergyCons!I$3:I$1000)</f>
        <v>0</v>
      </c>
    </row>
    <row r="1422" spans="2:11" x14ac:dyDescent="0.35">
      <c r="B1422" s="5" t="str">
        <f t="shared" si="834"/>
        <v>SPS4</v>
      </c>
      <c r="C1422" s="5" t="str">
        <f t="shared" si="846"/>
        <v>CH</v>
      </c>
      <c r="D1422" t="s">
        <v>1419</v>
      </c>
      <c r="E1422" t="s">
        <v>8</v>
      </c>
      <c r="F1422" s="1" cm="1">
        <f t="array" ref="F1422">SUMPRODUCT(("T_B_c-ICEDSL-S4"=[1]OUT_TransportEnergyCons!$A$3:$A$1000)*1,("Var_Fin"=[1]OUT_TransportEnergyCons!$B$3:$B$1000)*1,ISNUMBER(SEARCH("DSL",[1]OUT_TransportEnergyCons!$C$3:$C$1000))*1,[1]OUT_TransportEnergyCons!D$3:D$1000)</f>
        <v>1.3751577495620875E-2</v>
      </c>
      <c r="G1422" s="1" cm="1">
        <f t="array" ref="G1422">SUMPRODUCT(("T_B_c-ICEDSL-S4"=[1]OUT_TransportEnergyCons!$A$3:$A$1000)*1,("Var_Fin"=[1]OUT_TransportEnergyCons!$B$3:$B$1000)*1,ISNUMBER(SEARCH("DSL",[1]OUT_TransportEnergyCons!$C$3:$C$1000))*1,[1]OUT_TransportEnergyCons!E$3:E$1000)</f>
        <v>1.3844880113665205E-4</v>
      </c>
      <c r="H1422" s="1" cm="1">
        <f t="array" ref="H1422">SUMPRODUCT(("T_B_c-ICEDSL-S4"=[1]OUT_TransportEnergyCons!$A$3:$A$1000)*1,("Var_Fin"=[1]OUT_TransportEnergyCons!$B$3:$B$1000)*1,ISNUMBER(SEARCH("DSL",[1]OUT_TransportEnergyCons!$C$3:$C$1000))*1,[1]OUT_TransportEnergyCons!F$3:F$1000)</f>
        <v>2.8493329880402668E-4</v>
      </c>
      <c r="I1422" s="1" cm="1">
        <f t="array" ref="I1422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2" s="1" cm="1">
        <f t="array" ref="J1422">SUMPRODUCT(("T_B_c-ICEDSL-S4"=[1]OUT_TransportEnergyCons!$A$3:$A$1000)*1,("Var_Fin"=[1]OUT_TransportEnergyCons!$B$3:$B$1000)*1,ISNUMBER(SEARCH("DSL",[1]OUT_TransportEnergyCons!$C$3:$C$1000))*1,[1]OUT_TransportEnergyCons!H$3:H$1000)</f>
        <v>0</v>
      </c>
      <c r="K1422" s="1" cm="1">
        <f t="array" ref="K1422">SUMPRODUCT(("T_B_c-ICEDSL-S4"=[1]OUT_TransportEnergyCons!$A$3:$A$1000)*1,("Var_Fin"=[1]OUT_TransportEnergyCons!$B$3:$B$1000)*1,ISNUMBER(SEARCH("DSL",[1]OUT_TransportEnergyCons!$C$3:$C$1000))*1,[1]OUT_TransportEnergyCons!I$3:I$1000)</f>
        <v>0</v>
      </c>
    </row>
    <row r="1423" spans="2:11" x14ac:dyDescent="0.35">
      <c r="B1423" s="5" t="str">
        <f t="shared" si="834"/>
        <v>SPS4</v>
      </c>
      <c r="C1423" s="5" t="str">
        <f t="shared" si="846"/>
        <v>CH</v>
      </c>
      <c r="D1423" t="s">
        <v>1420</v>
      </c>
      <c r="E1423" t="s">
        <v>8</v>
      </c>
      <c r="F1423" s="1">
        <f>SUM(F1428:F1432)</f>
        <v>1.3827603396424475E-4</v>
      </c>
      <c r="G1423" s="1">
        <f t="shared" ref="G1423" si="863">SUM(G1428:G1432)</f>
        <v>4.0099724484581647E-4</v>
      </c>
      <c r="H1423" s="1">
        <f t="shared" ref="H1423" si="864">SUM(H1428:H1432)</f>
        <v>1.6153082607300441E-3</v>
      </c>
      <c r="I1423" s="1">
        <f t="shared" ref="I1423" si="865">SUM(I1428:I1432)</f>
        <v>0</v>
      </c>
      <c r="J1423" s="1">
        <f t="shared" ref="J1423" si="866">SUM(J1428:J1432)</f>
        <v>0</v>
      </c>
      <c r="K1423" s="1">
        <f t="shared" ref="K1423" si="867">SUM(K1428:K1432)</f>
        <v>0</v>
      </c>
    </row>
    <row r="1424" spans="2:11" x14ac:dyDescent="0.35">
      <c r="B1424" s="5" t="str">
        <f t="shared" si="834"/>
        <v>SPS4</v>
      </c>
      <c r="C1424" s="5" t="str">
        <f t="shared" si="846"/>
        <v>CH</v>
      </c>
      <c r="D1424" t="s">
        <v>1421</v>
      </c>
      <c r="E1424" t="s">
        <v>8</v>
      </c>
      <c r="F1424" s="1">
        <f>F1423-F1425</f>
        <v>1.279420859151552E-4</v>
      </c>
      <c r="G1424" s="1">
        <f t="shared" ref="G1424" si="868">G1423-G1425</f>
        <v>3.6202101866059328E-4</v>
      </c>
      <c r="H1424" s="1">
        <f t="shared" ref="H1424" si="869">H1423-H1425</f>
        <v>1.4614083455668592E-3</v>
      </c>
      <c r="I1424" s="1">
        <f t="shared" ref="I1424" si="870">I1423-I1425</f>
        <v>0</v>
      </c>
      <c r="J1424" s="1">
        <f t="shared" ref="J1424" si="871">J1423-J1425</f>
        <v>0</v>
      </c>
      <c r="K1424" s="1">
        <f t="shared" ref="K1424" si="872">K1423-K1425</f>
        <v>0</v>
      </c>
    </row>
    <row r="1425" spans="2:11" x14ac:dyDescent="0.35">
      <c r="B1425" s="5" t="str">
        <f t="shared" si="834"/>
        <v>SPS4</v>
      </c>
      <c r="C1425" s="5" t="str">
        <f t="shared" si="846"/>
        <v>CH</v>
      </c>
      <c r="D1425" t="s">
        <v>1422</v>
      </c>
      <c r="E1425" t="s">
        <v>8</v>
      </c>
      <c r="F1425" s="1">
        <f>SUM(F1426:F1427)</f>
        <v>1.0333948049089551E-5</v>
      </c>
      <c r="G1425" s="1">
        <f t="shared" ref="G1425" si="873">SUM(G1426:G1427)</f>
        <v>3.8976226185223174E-5</v>
      </c>
      <c r="H1425" s="1">
        <f t="shared" ref="H1425" si="874">SUM(H1426:H1427)</f>
        <v>1.5389991516318488E-4</v>
      </c>
      <c r="I1425" s="1">
        <f t="shared" ref="I1425" si="875">SUM(I1426:I1427)</f>
        <v>0</v>
      </c>
      <c r="J1425" s="1">
        <f t="shared" ref="J1425" si="876">SUM(J1426:J1427)</f>
        <v>0</v>
      </c>
      <c r="K1425" s="1">
        <f t="shared" ref="K1425" si="877">SUM(K1426:K1427)</f>
        <v>0</v>
      </c>
    </row>
    <row r="1426" spans="2:11" x14ac:dyDescent="0.35">
      <c r="B1426" s="5" t="str">
        <f t="shared" si="834"/>
        <v>SPS4</v>
      </c>
      <c r="C1426" s="5" t="str">
        <f t="shared" si="846"/>
        <v>CH</v>
      </c>
      <c r="D1426" t="s">
        <v>1423</v>
      </c>
      <c r="E1426" t="s">
        <v>8</v>
      </c>
      <c r="F1426" s="1">
        <f>[1]Transport!B$27/SUM([1]Transport!B$24,[1]Transport!B$27)*F1423*(F$45+F$612)/(F$45+F$612+F$47)</f>
        <v>1.0333948049089551E-5</v>
      </c>
      <c r="G1426" s="1">
        <f>[1]Transport!C$27/SUM([1]Transport!C$24,[1]Transport!C$27)*G1423*(G$45+G$612)/(G$45+G$612+G$47)</f>
        <v>3.8976226185223174E-5</v>
      </c>
      <c r="H1426" s="1">
        <f>[1]Transport!D$27/SUM([1]Transport!D$24,[1]Transport!D$27)*H1423*(H$45+H$612)/(H$45+H$612+H$47)</f>
        <v>1.5389991516318488E-4</v>
      </c>
      <c r="I1426" s="1">
        <f>[1]Transport!E$27/SUM([1]Transport!E$24,[1]Transport!E$27)*I1423*(I$45+I$612)/(I$45+I$612+I$47)</f>
        <v>0</v>
      </c>
      <c r="J1426" s="1">
        <f>[1]Transport!F$27/SUM([1]Transport!F$24,[1]Transport!F$27)*J1423*(J$45+J$612)/(J$45+J$612+J$47)</f>
        <v>0</v>
      </c>
      <c r="K1426" s="1">
        <f>[1]Transport!G$27/SUM([1]Transport!G$24,[1]Transport!G$27)*K1423*(K$45+K$612)/(K$45+K$612+K$47)</f>
        <v>0</v>
      </c>
    </row>
    <row r="1427" spans="2:11" x14ac:dyDescent="0.35">
      <c r="B1427" s="5" t="str">
        <f t="shared" si="834"/>
        <v>SPS4</v>
      </c>
      <c r="C1427" s="5" t="str">
        <f t="shared" si="846"/>
        <v>CH</v>
      </c>
      <c r="D1427" t="s">
        <v>1424</v>
      </c>
      <c r="E1427" t="s">
        <v>8</v>
      </c>
      <c r="F1427" s="1">
        <f>(F$47+F$714)/([1]Transport!B$24+[1]Transport!B$27)*F1423</f>
        <v>0</v>
      </c>
      <c r="G1427" s="1">
        <f>(G$47+G$714)/([1]Transport!C$24+[1]Transport!C$27)*G1423</f>
        <v>0</v>
      </c>
      <c r="H1427" s="1">
        <f>(H$47+H$714)/([1]Transport!D$24+[1]Transport!D$27)*H1423</f>
        <v>0</v>
      </c>
      <c r="I1427" s="1">
        <f>(I$47+I$714)/([1]Transport!E$24+[1]Transport!E$27)*I1423</f>
        <v>0</v>
      </c>
      <c r="J1427" s="1">
        <f>(J$47+J$714)/([1]Transport!F$24+[1]Transport!F$27)*J1423</f>
        <v>0</v>
      </c>
      <c r="K1427" s="1">
        <f>(K$47+K$714)/([1]Transport!G$24+[1]Transport!G$27)*K1423</f>
        <v>0</v>
      </c>
    </row>
    <row r="1428" spans="2:11" x14ac:dyDescent="0.35">
      <c r="B1428" s="5" t="str">
        <f t="shared" si="834"/>
        <v>SPS4</v>
      </c>
      <c r="C1428" s="5" t="str">
        <f t="shared" si="846"/>
        <v>CH</v>
      </c>
      <c r="D1428" t="s">
        <v>2119</v>
      </c>
      <c r="E1428" t="s">
        <v>8</v>
      </c>
      <c r="F1428" s="1" cm="1">
        <f t="array" ref="F1428">SUMPRODUCT(("T_B_c-ICEngaEXT"=[1]OUT_TransportEnergyCons!$A$3:$A$1000)*1,("Var_Fin"=[1]OUT_TransportEnergyCons!$B$3:$B$1000)*1,ISNUMBER(SEARCH("nga",[1]OUT_TransportEnergyCons!$C$3:$C$1000))*1,[1]OUT_TransportEnergyCons!D$3:D$1000)</f>
        <v>1.3827603396424475E-4</v>
      </c>
      <c r="G1428" s="1" cm="1">
        <f t="array" ref="G1428">SUMPRODUCT(("T_B_c-ICEngaEXT"=[1]OUT_TransportEnergyCons!$A$3:$A$1000)*1,("Var_Fin"=[1]OUT_TransportEnergyCons!$B$3:$B$1000)*1,ISNUMBER(SEARCH("nga",[1]OUT_TransportEnergyCons!$C$3:$C$1000))*1,[1]OUT_TransportEnergyCons!E$3:E$1000)</f>
        <v>1.389614766324815E-4</v>
      </c>
      <c r="H1428" s="1" cm="1">
        <f t="array" ref="H1428">SUMPRODUCT(("T_B_c-ICEngaEXT"=[1]OUT_TransportEnergyCons!$A$3:$A$1000)*1,("Var_Fin"=[1]OUT_TransportEnergyCons!$B$3:$B$1000)*1,ISNUMBER(SEARCH("nga",[1]OUT_TransportEnergyCons!$C$3:$C$1000))*1,[1]OUT_TransportEnergyCons!F$3:F$1000)</f>
        <v>1.3740470059216302E-4</v>
      </c>
      <c r="I1428" s="1" cm="1">
        <f t="array" ref="I1428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28" s="1" cm="1">
        <f t="array" ref="J1428">SUMPRODUCT(("T_B_c-ICEngaEXT"=[1]OUT_TransportEnergyCons!$A$3:$A$1000)*1,("Var_Fin"=[1]OUT_TransportEnergyCons!$B$3:$B$1000)*1,ISNUMBER(SEARCH("nga",[1]OUT_TransportEnergyCons!$C$3:$C$1000))*1,[1]OUT_TransportEnergyCons!H$3:H$1000)</f>
        <v>0</v>
      </c>
      <c r="K1428" s="1" cm="1">
        <f t="array" ref="K1428">SUMPRODUCT(("T_B_c-ICEngaEXT"=[1]OUT_TransportEnergyCons!$A$3:$A$1000)*1,("Var_Fin"=[1]OUT_TransportEnergyCons!$B$3:$B$1000)*1,ISNUMBER(SEARCH("nga",[1]OUT_TransportEnergyCons!$C$3:$C$1000))*1,[1]OUT_TransportEnergyCons!I$3:I$1000)</f>
        <v>0</v>
      </c>
    </row>
    <row r="1429" spans="2:11" x14ac:dyDescent="0.35">
      <c r="B1429" s="5" t="str">
        <f t="shared" si="834"/>
        <v>SPS4</v>
      </c>
      <c r="C1429" s="5" t="str">
        <f t="shared" si="846"/>
        <v>CH</v>
      </c>
      <c r="D1429" t="s">
        <v>1425</v>
      </c>
      <c r="E1429" t="s">
        <v>8</v>
      </c>
      <c r="F1429" s="1" cm="1">
        <f t="array" ref="F1429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29" s="1" cm="1">
        <f t="array" ref="G1429">SUMPRODUCT(("T_B_c-ICEnga-S1"=[1]OUT_TransportEnergyCons!$A$3:$A$1000)*1,("Var_Fin"=[1]OUT_TransportEnergyCons!$B$3:$B$1000)*1,ISNUMBER(SEARCH("nga",[1]OUT_TransportEnergyCons!$C$3:$C$1000))*1,[1]OUT_TransportEnergyCons!E$3:E$1000)</f>
        <v>1.2686077779643383E-4</v>
      </c>
      <c r="H1429" s="1" cm="1">
        <f t="array" ref="H1429">SUMPRODUCT(("T_B_c-ICEnga-S1"=[1]OUT_TransportEnergyCons!$A$3:$A$1000)*1,("Var_Fin"=[1]OUT_TransportEnergyCons!$B$3:$B$1000)*1,ISNUMBER(SEARCH("nga",[1]OUT_TransportEnergyCons!$C$3:$C$1000))*1,[1]OUT_TransportEnergyCons!F$3:F$1000)</f>
        <v>7.4482378215994882E-4</v>
      </c>
      <c r="I1429" s="1" cm="1">
        <f t="array" ref="I1429">SUMPRODUCT(("T_B_c-ICEnga-S1"=[1]OUT_TransportEnergyCons!$A$3:$A$1000)*1,("Var_Fin"=[1]OUT_TransportEnergyCons!$B$3:$B$1000)*1,ISNUMBER(SEARCH("nga",[1]OUT_TransportEnergyCons!$C$3:$C$1000))*1,[1]OUT_TransportEnergyCons!G$3:G$1000)</f>
        <v>0</v>
      </c>
      <c r="J1429" s="1" cm="1">
        <f t="array" ref="J1429">SUMPRODUCT(("T_B_c-ICEnga-S1"=[1]OUT_TransportEnergyCons!$A$3:$A$1000)*1,("Var_Fin"=[1]OUT_TransportEnergyCons!$B$3:$B$1000)*1,ISNUMBER(SEARCH("nga",[1]OUT_TransportEnergyCons!$C$3:$C$1000))*1,[1]OUT_TransportEnergyCons!H$3:H$1000)</f>
        <v>0</v>
      </c>
      <c r="K1429" s="1" cm="1">
        <f t="array" ref="K1429">SUMPRODUCT(("T_B_c-ICEnga-S1"=[1]OUT_TransportEnergyCons!$A$3:$A$1000)*1,("Var_Fin"=[1]OUT_TransportEnergyCons!$B$3:$B$1000)*1,ISNUMBER(SEARCH("nga",[1]OUT_TransportEnergyCons!$C$3:$C$1000))*1,[1]OUT_TransportEnergyCons!I$3:I$1000)</f>
        <v>0</v>
      </c>
    </row>
    <row r="1430" spans="2:11" x14ac:dyDescent="0.35">
      <c r="B1430" s="5" t="str">
        <f t="shared" si="834"/>
        <v>SPS4</v>
      </c>
      <c r="C1430" s="5" t="str">
        <f t="shared" si="846"/>
        <v>CH</v>
      </c>
      <c r="D1430" t="s">
        <v>1426</v>
      </c>
      <c r="E1430" t="s">
        <v>8</v>
      </c>
      <c r="F1430" s="1" cm="1">
        <f t="array" ref="F1430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0" s="1" cm="1">
        <f t="array" ref="G1430">SUMPRODUCT(("T_B_c-ICEnga-S2"=[1]OUT_TransportEnergyCons!$A$3:$A$1000)*1,("Var_Fin"=[1]OUT_TransportEnergyCons!$B$3:$B$1000)*1,ISNUMBER(SEARCH("nga",[1]OUT_TransportEnergyCons!$C$3:$C$1000))*1,[1]OUT_TransportEnergyCons!E$3:E$1000)</f>
        <v>7.7341973655995378E-5</v>
      </c>
      <c r="H1430" s="1" cm="1">
        <f t="array" ref="H1430">SUMPRODUCT(("T_B_c-ICEnga-S2"=[1]OUT_TransportEnergyCons!$A$3:$A$1000)*1,("Var_Fin"=[1]OUT_TransportEnergyCons!$B$3:$B$1000)*1,ISNUMBER(SEARCH("nga",[1]OUT_TransportEnergyCons!$C$3:$C$1000))*1,[1]OUT_TransportEnergyCons!F$3:F$1000)</f>
        <v>4.399411514412016E-4</v>
      </c>
      <c r="I1430" s="1" cm="1">
        <f t="array" ref="I1430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SUMPRODUCT(("T_B_c-ICEnga-S2"=[1]OUT_TransportEnergyCons!$A$3:$A$1000)*1,("Var_Fin"=[1]OUT_TransportEnergyCons!$B$3:$B$1000)*1,ISNUMBER(SEARCH("nga",[1]OUT_TransportEnergyCons!$C$3:$C$1000))*1,[1]OUT_TransportEnergyCons!H$3:H$1000)</f>
        <v>0</v>
      </c>
      <c r="K1430" s="1" cm="1">
        <f t="array" ref="K1430">SUMPRODUCT(("T_B_c-ICEnga-S2"=[1]OUT_TransportEnergyCons!$A$3:$A$1000)*1,("Var_Fin"=[1]OUT_TransportEnergyCons!$B$3:$B$1000)*1,ISNUMBER(SEARCH("nga",[1]OUT_TransportEnergyCons!$C$3:$C$1000))*1,[1]OUT_TransportEnergyCons!I$3:I$1000)</f>
        <v>0</v>
      </c>
    </row>
    <row r="1431" spans="2:11" x14ac:dyDescent="0.35">
      <c r="B1431" s="5" t="str">
        <f t="shared" si="834"/>
        <v>SPS4</v>
      </c>
      <c r="C1431" s="5" t="str">
        <f t="shared" si="846"/>
        <v>CH</v>
      </c>
      <c r="D1431" t="s">
        <v>1427</v>
      </c>
      <c r="E1431" t="s">
        <v>8</v>
      </c>
      <c r="F1431" s="1" cm="1">
        <f t="array" ref="F1431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SUMPRODUCT(("T_B_c-ICEnga-S3"=[1]OUT_TransportEnergyCons!$A$3:$A$1000)*1,("Var_Fin"=[1]OUT_TransportEnergyCons!$B$3:$B$1000)*1,ISNUMBER(SEARCH("nga",[1]OUT_TransportEnergyCons!$C$3:$C$1000))*1,[1]OUT_TransportEnergyCons!E$3:E$1000)</f>
        <v>5.7833016760905808E-5</v>
      </c>
      <c r="H1431" s="1" cm="1">
        <f t="array" ref="H1431">SUMPRODUCT(("T_B_c-ICEnga-S3"=[1]OUT_TransportEnergyCons!$A$3:$A$1000)*1,("Var_Fin"=[1]OUT_TransportEnergyCons!$B$3:$B$1000)*1,ISNUMBER(SEARCH("nga",[1]OUT_TransportEnergyCons!$C$3:$C$1000))*1,[1]OUT_TransportEnergyCons!F$3:F$1000)</f>
        <v>2.7555316068512048E-4</v>
      </c>
      <c r="I1431" s="1" cm="1">
        <f t="array" ref="I1431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1" s="1" cm="1">
        <f t="array" ref="J1431">SUMPRODUCT(("T_B_c-ICEnga-S3"=[1]OUT_TransportEnergyCons!$A$3:$A$1000)*1,("Var_Fin"=[1]OUT_TransportEnergyCons!$B$3:$B$1000)*1,ISNUMBER(SEARCH("nga",[1]OUT_TransportEnergyCons!$C$3:$C$1000))*1,[1]OUT_TransportEnergyCons!H$3:H$1000)</f>
        <v>0</v>
      </c>
      <c r="K1431" s="1" cm="1">
        <f t="array" ref="K1431">SUMPRODUCT(("T_B_c-ICEnga-S3"=[1]OUT_TransportEnergyCons!$A$3:$A$1000)*1,("Var_Fin"=[1]OUT_TransportEnergyCons!$B$3:$B$1000)*1,ISNUMBER(SEARCH("nga",[1]OUT_TransportEnergyCons!$C$3:$C$1000))*1,[1]OUT_TransportEnergyCons!I$3:I$1000)</f>
        <v>0</v>
      </c>
    </row>
    <row r="1432" spans="2:11" x14ac:dyDescent="0.35">
      <c r="B1432" s="5" t="str">
        <f t="shared" si="834"/>
        <v>SPS4</v>
      </c>
      <c r="C1432" s="5" t="str">
        <f t="shared" si="846"/>
        <v>CH</v>
      </c>
      <c r="D1432" t="s">
        <v>1428</v>
      </c>
      <c r="E1432" t="s">
        <v>8</v>
      </c>
      <c r="F1432" s="1" cm="1">
        <f t="array" ref="F1432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SUMPRODUCT(("T_B_c-ICEnga-S4"=[1]OUT_TransportEnergyCons!$A$3:$A$1000)*1,("Var_Fin"=[1]OUT_TransportEnergyCons!$B$3:$B$1000)*1,ISNUMBER(SEARCH("nga",[1]OUT_TransportEnergyCons!$C$3:$C$1000))*1,[1]OUT_TransportEnergyCons!E$3:E$1000)</f>
        <v>0</v>
      </c>
      <c r="H1432" s="1" cm="1">
        <f t="array" ref="H1432">SUMPRODUCT(("T_B_c-ICEnga-S4"=[1]OUT_TransportEnergyCons!$A$3:$A$1000)*1,("Var_Fin"=[1]OUT_TransportEnergyCons!$B$3:$B$1000)*1,ISNUMBER(SEARCH("nga",[1]OUT_TransportEnergyCons!$C$3:$C$1000))*1,[1]OUT_TransportEnergyCons!F$3:F$1000)</f>
        <v>1.7585465851609995E-5</v>
      </c>
      <c r="I1432" s="1" cm="1">
        <f t="array" ref="I1432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SUMPRODUCT(("T_B_c-ICEnga-S4"=[1]OUT_TransportEnergyCons!$A$3:$A$1000)*1,("Var_Fin"=[1]OUT_TransportEnergyCons!$B$3:$B$1000)*1,ISNUMBER(SEARCH("nga",[1]OUT_TransportEnergyCons!$C$3:$C$1000))*1,[1]OUT_TransportEnergyCons!H$3:H$1000)</f>
        <v>0</v>
      </c>
      <c r="K1432" s="1" cm="1">
        <f t="array" ref="K1432">SUMPRODUCT(("T_B_c-ICEnga-S4"=[1]OUT_TransportEnergyCons!$A$3:$A$1000)*1,("Var_Fin"=[1]OUT_TransportEnergyCons!$B$3:$B$1000)*1,ISNUMBER(SEARCH("nga",[1]OUT_TransportEnergyCons!$C$3:$C$1000))*1,[1]OUT_TransportEnergyCons!I$3:I$1000)</f>
        <v>0</v>
      </c>
    </row>
    <row r="1433" spans="2:11" x14ac:dyDescent="0.35">
      <c r="B1433" s="5" t="str">
        <f t="shared" si="834"/>
        <v>SPS4</v>
      </c>
      <c r="C1433" s="5" t="str">
        <f>C1432</f>
        <v>CH</v>
      </c>
      <c r="D1433" s="2" t="s">
        <v>1393</v>
      </c>
      <c r="E1433" s="2" t="s">
        <v>1132</v>
      </c>
      <c r="F1433" s="3">
        <f>SUM(F1434:F1456)</f>
        <v>0.13099604504319887</v>
      </c>
      <c r="G1433" s="3">
        <f t="shared" ref="G1433" si="878">SUM(G1434:G1456)</f>
        <v>0.1316563668933515</v>
      </c>
      <c r="H1433" s="3">
        <f t="shared" ref="H1433" si="879">SUM(H1434:H1456)</f>
        <v>0.13269992414212817</v>
      </c>
      <c r="I1433" s="3">
        <f t="shared" ref="I1433" si="880">SUM(I1434:I1456)</f>
        <v>0.13441729780076603</v>
      </c>
      <c r="J1433" s="3">
        <f t="shared" ref="J1433" si="881">SUM(J1434:J1456)</f>
        <v>0.13473046880136272</v>
      </c>
      <c r="K1433" s="3">
        <f t="shared" ref="K1433" si="882">SUM(K1434:K1456)</f>
        <v>0.13114552043139396</v>
      </c>
    </row>
    <row r="1434" spans="2:11" x14ac:dyDescent="0.35">
      <c r="B1434" s="5" t="str">
        <f t="shared" si="834"/>
        <v>SPS4</v>
      </c>
      <c r="C1434" s="5" t="str">
        <f>C1433</f>
        <v>CH</v>
      </c>
      <c r="D1434" t="s">
        <v>1429</v>
      </c>
      <c r="E1434" t="str">
        <f>E1433</f>
        <v>billion km/yr.</v>
      </c>
      <c r="F1434" s="1" cm="1">
        <f t="array" ref="F1434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4" s="1" cm="1">
        <f t="array" ref="G1434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4" s="1" cm="1">
        <f t="array" ref="H1434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4" s="1" cm="1">
        <f t="array" ref="I1434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4" s="1" cm="1">
        <f t="array" ref="J1434">SUMPRODUCT(("T_B_c-BeVELCEXT"=[1]OUT_TransportEnergyCons!$A$3:$A$1000)*1,("var_fout"=[1]OUT_TransportEnergyCons!$B$3:$B$1000)*1,ISNUMBER(SEARCH("TPBSc",[1]OUT_TransportEnergyCons!$C$3:$C$1000))*1,[1]OUT_TransportEnergyCons!H$3:H$1000)</f>
        <v>0</v>
      </c>
      <c r="K1434" s="1" cm="1">
        <f t="array" ref="K1434">SUMPRODUCT(("T_B_c-BeVELCEXT"=[1]OUT_TransportEnergyCons!$A$3:$A$1000)*1,("var_fout"=[1]OUT_TransportEnergyCons!$B$3:$B$1000)*1,ISNUMBER(SEARCH("TPBSc",[1]OUT_TransportEnergyCons!$C$3:$C$1000))*1,[1]OUT_TransportEnergyCons!I$3:I$1000)</f>
        <v>0</v>
      </c>
    </row>
    <row r="1435" spans="2:11" x14ac:dyDescent="0.35">
      <c r="B1435" s="5" t="str">
        <f t="shared" si="834"/>
        <v>SPS4</v>
      </c>
      <c r="C1435" s="5" t="str">
        <f t="shared" ref="C1435:C1456" si="883">C1434</f>
        <v>CH</v>
      </c>
      <c r="D1435" t="s">
        <v>1430</v>
      </c>
      <c r="E1435" t="str">
        <f t="shared" ref="E1435:E1456" si="884">E1434</f>
        <v>billion km/yr.</v>
      </c>
      <c r="F1435" s="1" cm="1">
        <f t="array" ref="F1435">SUMPRODUCT(("T_B_c-BEVELC-S1"=[1]OUT_TransportEnergyCons!$A$3:$A$1000)*1,("var_fout"=[1]OUT_TransportEnergyCons!$B$3:$B$1000)*1,ISNUMBER(SEARCH("TPBSc",[1]OUT_TransportEnergyCons!$C$3:$C$1000))*1,[1]OUT_TransportEnergyCons!D$3:D$1000)</f>
        <v>1.4042326009662691E-4</v>
      </c>
      <c r="G1435" s="1" cm="1">
        <f t="array" ref="G1435">SUMPRODUCT(("T_B_c-BEVELC-S1"=[1]OUT_TransportEnergyCons!$A$3:$A$1000)*1,("var_fout"=[1]OUT_TransportEnergyCons!$B$3:$B$1000)*1,ISNUMBER(SEARCH("TPBSc",[1]OUT_TransportEnergyCons!$C$3:$C$1000))*1,[1]OUT_TransportEnergyCons!E$3:E$1000)</f>
        <v>1.8502852714844385E-4</v>
      </c>
      <c r="H1435" s="1" cm="1">
        <f t="array" ref="H1435">SUMPRODUCT(("T_B_c-BEVELC-S1"=[1]OUT_TransportEnergyCons!$A$3:$A$1000)*1,("var_fout"=[1]OUT_TransportEnergyCons!$B$3:$B$1000)*1,ISNUMBER(SEARCH("TPBSc",[1]OUT_TransportEnergyCons!$C$3:$C$1000))*1,[1]OUT_TransportEnergyCons!F$3:F$1000)</f>
        <v>2.7837598310618173E-4</v>
      </c>
      <c r="I1435" s="1" cm="1">
        <f t="array" ref="I1435">SUMPRODUCT(("T_B_c-BEVELC-S1"=[1]OUT_TransportEnergyCons!$A$3:$A$1000)*1,("var_fout"=[1]OUT_TransportEnergyCons!$B$3:$B$1000)*1,ISNUMBER(SEARCH("TPBSc",[1]OUT_TransportEnergyCons!$C$3:$C$1000))*1,[1]OUT_TransportEnergyCons!G$3:G$1000)</f>
        <v>6.4538365665320049E-2</v>
      </c>
      <c r="J1435" s="1" cm="1">
        <f t="array" ref="J1435">SUMPRODUCT(("T_B_c-BEVELC-S1"=[1]OUT_TransportEnergyCons!$A$3:$A$1000)*1,("var_fout"=[1]OUT_TransportEnergyCons!$B$3:$B$1000)*1,ISNUMBER(SEARCH("TPBSc",[1]OUT_TransportEnergyCons!$C$3:$C$1000))*1,[1]OUT_TransportEnergyCons!H$3:H$1000)</f>
        <v>6.3820609823162566E-2</v>
      </c>
      <c r="K1435" s="1" cm="1">
        <f t="array" ref="K1435">SUMPRODUCT(("T_B_c-BEVELC-S1"=[1]OUT_TransportEnergyCons!$A$3:$A$1000)*1,("var_fout"=[1]OUT_TransportEnergyCons!$B$3:$B$1000)*1,ISNUMBER(SEARCH("TPBSc",[1]OUT_TransportEnergyCons!$C$3:$C$1000))*1,[1]OUT_TransportEnergyCons!I$3:I$1000)</f>
        <v>6.2729641353828164E-2</v>
      </c>
    </row>
    <row r="1436" spans="2:11" x14ac:dyDescent="0.35">
      <c r="B1436" s="5" t="str">
        <f t="shared" si="834"/>
        <v>SPS4</v>
      </c>
      <c r="C1436" s="5" t="str">
        <f t="shared" si="883"/>
        <v>CH</v>
      </c>
      <c r="D1436" t="s">
        <v>1431</v>
      </c>
      <c r="E1436" t="str">
        <f t="shared" si="884"/>
        <v>billion km/yr.</v>
      </c>
      <c r="F1436" s="1" cm="1">
        <f t="array" ref="F1436">SUMPRODUCT(("T_B_c-BEVELC-S2"=[1]OUT_TransportEnergyCons!$A$3:$A$1000)*1,("var_fout"=[1]OUT_TransportEnergyCons!$B$3:$B$1000)*1,ISNUMBER(SEARCH("TPBSc",[1]OUT_TransportEnergyCons!$C$3:$C$1000))*1,[1]OUT_TransportEnergyCons!D$3:D$1000)</f>
        <v>1.8368437097902063E-4</v>
      </c>
      <c r="G1436" s="1" cm="1">
        <f t="array" ref="G1436">SUMPRODUCT(("T_B_c-BEVELC-S2"=[1]OUT_TransportEnergyCons!$A$3:$A$1000)*1,("var_fout"=[1]OUT_TransportEnergyCons!$B$3:$B$1000)*1,ISNUMBER(SEARCH("TPBSc",[1]OUT_TransportEnergyCons!$C$3:$C$1000))*1,[1]OUT_TransportEnergyCons!E$3:E$1000)</f>
        <v>1.8132893261091698E-4</v>
      </c>
      <c r="H1436" s="1" cm="1">
        <f t="array" ref="H1436">SUMPRODUCT(("T_B_c-BEVELC-S2"=[1]OUT_TransportEnergyCons!$A$3:$A$1000)*1,("var_fout"=[1]OUT_TransportEnergyCons!$B$3:$B$1000)*1,ISNUMBER(SEARCH("TPBSc",[1]OUT_TransportEnergyCons!$C$3:$C$1000))*1,[1]OUT_TransportEnergyCons!F$3:F$1000)</f>
        <v>2.638772838528171E-4</v>
      </c>
      <c r="I1436" s="1" cm="1">
        <f t="array" ref="I1436">SUMPRODUCT(("T_B_c-BEVELC-S2"=[1]OUT_TransportEnergyCons!$A$3:$A$1000)*1,("var_fout"=[1]OUT_TransportEnergyCons!$B$3:$B$1000)*1,ISNUMBER(SEARCH("TPBSc",[1]OUT_TransportEnergyCons!$C$3:$C$1000))*1,[1]OUT_TransportEnergyCons!G$3:G$1000)</f>
        <v>2.2599343388612032E-2</v>
      </c>
      <c r="J1436" s="1" cm="1">
        <f t="array" ref="J1436">SUMPRODUCT(("T_B_c-BEVELC-S2"=[1]OUT_TransportEnergyCons!$A$3:$A$1000)*1,("var_fout"=[1]OUT_TransportEnergyCons!$B$3:$B$1000)*1,ISNUMBER(SEARCH("TPBSc",[1]OUT_TransportEnergyCons!$C$3:$C$1000))*1,[1]OUT_TransportEnergyCons!H$3:H$1000)</f>
        <v>2.3303860817116794E-2</v>
      </c>
      <c r="K1436" s="1" cm="1">
        <f t="array" ref="K1436">SUMPRODUCT(("T_B_c-BEVELC-S2"=[1]OUT_TransportEnergyCons!$A$3:$A$1000)*1,("var_fout"=[1]OUT_TransportEnergyCons!$B$3:$B$1000)*1,ISNUMBER(SEARCH("TPBSc",[1]OUT_TransportEnergyCons!$C$3:$C$1000))*1,[1]OUT_TransportEnergyCons!I$3:I$1000)</f>
        <v>2.2391980951784969E-2</v>
      </c>
    </row>
    <row r="1437" spans="2:11" x14ac:dyDescent="0.35">
      <c r="B1437" s="5" t="str">
        <f t="shared" si="834"/>
        <v>SPS4</v>
      </c>
      <c r="C1437" s="5" t="str">
        <f t="shared" si="883"/>
        <v>CH</v>
      </c>
      <c r="D1437" t="s">
        <v>1432</v>
      </c>
      <c r="E1437" t="str">
        <f t="shared" si="884"/>
        <v>billion km/yr.</v>
      </c>
      <c r="F1437" s="1" cm="1">
        <f t="array" ref="F1437">SUMPRODUCT(("T_B_c-BEVELC-S3"=[1]OUT_TransportEnergyCons!$A$3:$A$1000)*1,("var_fout"=[1]OUT_TransportEnergyCons!$B$3:$B$1000)*1,ISNUMBER(SEARCH("TPBSc",[1]OUT_TransportEnergyCons!$C$3:$C$1000))*1,[1]OUT_TransportEnergyCons!D$3:D$1000)</f>
        <v>5.8971642599494356E-5</v>
      </c>
      <c r="G1437" s="1" cm="1">
        <f t="array" ref="G1437">SUMPRODUCT(("T_B_c-BEVELC-S3"=[1]OUT_TransportEnergyCons!$A$3:$A$1000)*1,("var_fout"=[1]OUT_TransportEnergyCons!$B$3:$B$1000)*1,ISNUMBER(SEARCH("TPBSc",[1]OUT_TransportEnergyCons!$C$3:$C$1000))*1,[1]OUT_TransportEnergyCons!E$3:E$1000)</f>
        <v>9.0901383406823884E-5</v>
      </c>
      <c r="H1437" s="1" cm="1">
        <f t="array" ref="H1437">SUMPRODUCT(("T_B_c-BEVELC-S3"=[1]OUT_TransportEnergyCons!$A$3:$A$1000)*1,("var_fout"=[1]OUT_TransportEnergyCons!$B$3:$B$1000)*1,ISNUMBER(SEARCH("TPBSc",[1]OUT_TransportEnergyCons!$C$3:$C$1000))*1,[1]OUT_TransportEnergyCons!F$3:F$1000)</f>
        <v>1.1646881689530402E-4</v>
      </c>
      <c r="I1437" s="1" cm="1">
        <f t="array" ref="I1437">SUMPRODUCT(("T_B_c-BEVELC-S3"=[1]OUT_TransportEnergyCons!$A$3:$A$1000)*1,("var_fout"=[1]OUT_TransportEnergyCons!$B$3:$B$1000)*1,ISNUMBER(SEARCH("TPBSc",[1]OUT_TransportEnergyCons!$C$3:$C$1000))*1,[1]OUT_TransportEnergyCons!G$3:G$1000)</f>
        <v>1.4252496223285933E-4</v>
      </c>
      <c r="J1437" s="1" cm="1">
        <f t="array" ref="J1437">SUMPRODUCT(("T_B_c-BEVELC-S3"=[1]OUT_TransportEnergyCons!$A$3:$A$1000)*1,("var_fout"=[1]OUT_TransportEnergyCons!$B$3:$B$1000)*1,ISNUMBER(SEARCH("TPBSc",[1]OUT_TransportEnergyCons!$C$3:$C$1000))*1,[1]OUT_TransportEnergyCons!H$3:H$1000)</f>
        <v>3.8388368664469711E-4</v>
      </c>
      <c r="K1437" s="1" cm="1">
        <f t="array" ref="K1437">SUMPRODUCT(("T_B_c-BEVELC-S3"=[1]OUT_TransportEnergyCons!$A$3:$A$1000)*1,("var_fout"=[1]OUT_TransportEnergyCons!$B$3:$B$1000)*1,ISNUMBER(SEARCH("TPBSc",[1]OUT_TransportEnergyCons!$C$3:$C$1000))*1,[1]OUT_TransportEnergyCons!I$3:I$1000)</f>
        <v>2.1466585853371868E-4</v>
      </c>
    </row>
    <row r="1438" spans="2:11" x14ac:dyDescent="0.35">
      <c r="B1438" s="5" t="str">
        <f t="shared" si="834"/>
        <v>SPS4</v>
      </c>
      <c r="C1438" s="5" t="str">
        <f t="shared" si="883"/>
        <v>CH</v>
      </c>
      <c r="D1438" t="s">
        <v>1433</v>
      </c>
      <c r="E1438" t="str">
        <f t="shared" si="884"/>
        <v>billion km/yr.</v>
      </c>
      <c r="F1438" s="1" cm="1">
        <f t="array" ref="F1438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38" s="1" cm="1">
        <f t="array" ref="G1438">SUMPRODUCT(("T_B_c-BEVELC-S4"=[1]OUT_TransportEnergyCons!$A$3:$A$1000)*1,("var_fout"=[1]OUT_TransportEnergyCons!$B$3:$B$1000)*1,ISNUMBER(SEARCH("TPBSc",[1]OUT_TransportEnergyCons!$C$3:$C$1000))*1,[1]OUT_TransportEnergyCons!E$3:E$1000)</f>
        <v>7.1336549863369649E-6</v>
      </c>
      <c r="H1438" s="1" cm="1">
        <f t="array" ref="H1438">SUMPRODUCT(("T_B_c-BEVELC-S4"=[1]OUT_TransportEnergyCons!$A$3:$A$1000)*1,("var_fout"=[1]OUT_TransportEnergyCons!$B$3:$B$1000)*1,ISNUMBER(SEARCH("TPBSc",[1]OUT_TransportEnergyCons!$C$3:$C$1000))*1,[1]OUT_TransportEnergyCons!F$3:F$1000)</f>
        <v>1.450336124890391E-5</v>
      </c>
      <c r="I1438" s="1" cm="1">
        <f t="array" ref="I1438">SUMPRODUCT(("T_B_c-BEVELC-S4"=[1]OUT_TransportEnergyCons!$A$3:$A$1000)*1,("var_fout"=[1]OUT_TransportEnergyCons!$B$3:$B$1000)*1,ISNUMBER(SEARCH("TPBSc",[1]OUT_TransportEnergyCons!$C$3:$C$1000))*1,[1]OUT_TransportEnergyCons!G$3:G$1000)</f>
        <v>1.177025123944077E-5</v>
      </c>
      <c r="J1438" s="1" cm="1">
        <f t="array" ref="J1438">SUMPRODUCT(("T_B_c-BEVELC-S4"=[1]OUT_TransportEnergyCons!$A$3:$A$1000)*1,("var_fout"=[1]OUT_TransportEnergyCons!$B$3:$B$1000)*1,ISNUMBER(SEARCH("TPBSc",[1]OUT_TransportEnergyCons!$C$3:$C$1000))*1,[1]OUT_TransportEnergyCons!H$3:H$1000)</f>
        <v>1.9717003409675263E-5</v>
      </c>
      <c r="K1438" s="1" cm="1">
        <f t="array" ref="K1438">SUMPRODUCT(("T_B_c-BEVELC-S4"=[1]OUT_TransportEnergyCons!$A$3:$A$1000)*1,("var_fout"=[1]OUT_TransportEnergyCons!$B$3:$B$1000)*1,ISNUMBER(SEARCH("TPBSc",[1]OUT_TransportEnergyCons!$C$3:$C$1000))*1,[1]OUT_TransportEnergyCons!I$3:I$1000)</f>
        <v>6.6675859759385252E-6</v>
      </c>
    </row>
    <row r="1439" spans="2:11" x14ac:dyDescent="0.35">
      <c r="B1439" s="5" t="str">
        <f t="shared" si="834"/>
        <v>SPS4</v>
      </c>
      <c r="C1439" s="5" t="str">
        <f t="shared" si="883"/>
        <v>CH</v>
      </c>
      <c r="D1439" t="s">
        <v>1434</v>
      </c>
      <c r="E1439" t="str">
        <f t="shared" si="884"/>
        <v>billion km/yr.</v>
      </c>
      <c r="F1439" s="1" cm="1">
        <f t="array" ref="F1439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39" s="1" cm="1">
        <f t="array" ref="G1439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39" s="1" cm="1">
        <f t="array" ref="H1439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39" s="1" cm="1">
        <f t="array" ref="I1439">SUMPRODUCT(("T_B_c-FCLH2O-S1"=[1]OUT_TransportEnergyCons!$A$3:$A$1000)*1,("var_fout"=[1]OUT_TransportEnergyCons!$B$3:$B$1000)*1,ISNUMBER(SEARCH("TPBSc",[1]OUT_TransportEnergyCons!$C$3:$C$1000))*1,[1]OUT_TransportEnergyCons!G$3:G$1000)</f>
        <v>3.4239587580471101E-7</v>
      </c>
      <c r="J1439" s="1" cm="1">
        <f t="array" ref="J1439">SUMPRODUCT(("T_B_c-FCLH2O-S1"=[1]OUT_TransportEnergyCons!$A$3:$A$1000)*1,("var_fout"=[1]OUT_TransportEnergyCons!$B$3:$B$1000)*1,ISNUMBER(SEARCH("TPBSc",[1]OUT_TransportEnergyCons!$C$3:$C$1000))*1,[1]OUT_TransportEnergyCons!H$3:H$1000)</f>
        <v>0</v>
      </c>
      <c r="K1439" s="1" cm="1">
        <f t="array" ref="K1439">SUMPRODUCT(("T_B_c-FCLH2O-S1"=[1]OUT_TransportEnergyCons!$A$3:$A$1000)*1,("var_fout"=[1]OUT_TransportEnergyCons!$B$3:$B$1000)*1,ISNUMBER(SEARCH("TPBSc",[1]OUT_TransportEnergyCons!$C$3:$C$1000))*1,[1]OUT_TransportEnergyCons!I$3:I$1000)</f>
        <v>0</v>
      </c>
    </row>
    <row r="1440" spans="2:11" x14ac:dyDescent="0.35">
      <c r="B1440" s="5" t="str">
        <f t="shared" si="834"/>
        <v>SPS4</v>
      </c>
      <c r="C1440" s="5" t="str">
        <f t="shared" si="883"/>
        <v>CH</v>
      </c>
      <c r="D1440" t="s">
        <v>1435</v>
      </c>
      <c r="E1440" t="str">
        <f t="shared" si="884"/>
        <v>billion km/yr.</v>
      </c>
      <c r="F1440" s="1" cm="1">
        <f t="array" ref="F1440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0" s="1" cm="1">
        <f t="array" ref="H1440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0" s="1" cm="1">
        <f t="array" ref="I1440">SUMPRODUCT(("T_B_c-FCLH2O-S2"=[1]OUT_TransportEnergyCons!$A$3:$A$1000)*1,("var_fout"=[1]OUT_TransportEnergyCons!$B$3:$B$1000)*1,ISNUMBER(SEARCH("TPBSc",[1]OUT_TransportEnergyCons!$C$3:$C$1000))*1,[1]OUT_TransportEnergyCons!G$3:G$1000)</f>
        <v>6.2753471662971316E-7</v>
      </c>
      <c r="J1440" s="1" cm="1">
        <f t="array" ref="J1440">SUMPRODUCT(("T_B_c-FCLH2O-S2"=[1]OUT_TransportEnergyCons!$A$3:$A$1000)*1,("var_fout"=[1]OUT_TransportEnergyCons!$B$3:$B$1000)*1,ISNUMBER(SEARCH("TPBSc",[1]OUT_TransportEnergyCons!$C$3:$C$1000))*1,[1]OUT_TransportEnergyCons!H$3:H$1000)</f>
        <v>0</v>
      </c>
      <c r="K1440" s="1" cm="1">
        <f t="array" ref="K1440">SUMPRODUCT(("T_B_c-FCLH2O-S2"=[1]OUT_TransportEnergyCons!$A$3:$A$1000)*1,("var_fout"=[1]OUT_TransportEnergyCons!$B$3:$B$1000)*1,ISNUMBER(SEARCH("TPBSc",[1]OUT_TransportEnergyCons!$C$3:$C$1000))*1,[1]OUT_TransportEnergyCons!I$3:I$1000)</f>
        <v>0</v>
      </c>
    </row>
    <row r="1441" spans="2:11" x14ac:dyDescent="0.35">
      <c r="B1441" s="5" t="str">
        <f t="shared" si="834"/>
        <v>SPS4</v>
      </c>
      <c r="C1441" s="5" t="str">
        <f t="shared" si="883"/>
        <v>CH</v>
      </c>
      <c r="D1441" t="s">
        <v>1436</v>
      </c>
      <c r="E1441" t="str">
        <f t="shared" si="884"/>
        <v>billion km/yr.</v>
      </c>
      <c r="F1441" s="1" cm="1">
        <f t="array" ref="F1441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SUMPRODUCT(("T_B_c-FCLH2O-S3"=[1]OUT_TransportEnergyCons!$A$3:$A$1000)*1,("var_fout"=[1]OUT_TransportEnergyCons!$B$3:$B$1000)*1,ISNUMBER(SEARCH("TPBSc",[1]OUT_TransportEnergyCons!$C$3:$C$1000))*1,[1]OUT_TransportEnergyCons!G$3:G$1000)</f>
        <v>6.2714343328294469E-7</v>
      </c>
      <c r="J1441" s="1" cm="1">
        <f t="array" ref="J1441">SUMPRODUCT(("T_B_c-FCLH2O-S3"=[1]OUT_TransportEnergyCons!$A$3:$A$1000)*1,("var_fout"=[1]OUT_TransportEnergyCons!$B$3:$B$1000)*1,ISNUMBER(SEARCH("TPBSc",[1]OUT_TransportEnergyCons!$C$3:$C$1000))*1,[1]OUT_TransportEnergyCons!H$3:H$1000)</f>
        <v>0</v>
      </c>
      <c r="K1441" s="1" cm="1">
        <f t="array" ref="K1441">SUMPRODUCT(("T_B_c-FCLH2O-S3"=[1]OUT_TransportEnergyCons!$A$3:$A$1000)*1,("var_fout"=[1]OUT_TransportEnergyCons!$B$3:$B$1000)*1,ISNUMBER(SEARCH("TPBSc",[1]OUT_TransportEnergyCons!$C$3:$C$1000))*1,[1]OUT_TransportEnergyCons!I$3:I$1000)</f>
        <v>0</v>
      </c>
    </row>
    <row r="1442" spans="2:11" x14ac:dyDescent="0.35">
      <c r="B1442" s="5" t="str">
        <f t="shared" si="834"/>
        <v>SPS4</v>
      </c>
      <c r="C1442" s="5" t="str">
        <f t="shared" si="883"/>
        <v>CH</v>
      </c>
      <c r="D1442" t="s">
        <v>1437</v>
      </c>
      <c r="E1442" t="str">
        <f t="shared" si="884"/>
        <v>billion km/yr.</v>
      </c>
      <c r="F1442" s="1" cm="1">
        <f t="array" ref="F1442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2" s="1" cm="1">
        <f t="array" ref="J1442">SUMPRODUCT(("T_B_c-FCLH2O-S4"=[1]OUT_TransportEnergyCons!$A$3:$A$1000)*1,("var_fout"=[1]OUT_TransportEnergyCons!$B$3:$B$1000)*1,ISNUMBER(SEARCH("TPBSc",[1]OUT_TransportEnergyCons!$C$3:$C$1000))*1,[1]OUT_TransportEnergyCons!H$3:H$1000)</f>
        <v>0</v>
      </c>
      <c r="K1442" s="1" cm="1">
        <f t="array" ref="K1442">SUMPRODUCT(("T_B_c-FCLH2O-S4"=[1]OUT_TransportEnergyCons!$A$3:$A$1000)*1,("var_fout"=[1]OUT_TransportEnergyCons!$B$3:$B$1000)*1,ISNUMBER(SEARCH("TPBSc",[1]OUT_TransportEnergyCons!$C$3:$C$1000))*1,[1]OUT_TransportEnergyCons!I$3:I$1000)</f>
        <v>0</v>
      </c>
    </row>
    <row r="1443" spans="2:11" x14ac:dyDescent="0.35">
      <c r="B1443" s="5" t="str">
        <f t="shared" si="834"/>
        <v>SPS4</v>
      </c>
      <c r="C1443" s="5" t="str">
        <f t="shared" si="883"/>
        <v>CH</v>
      </c>
      <c r="D1443" t="s">
        <v>1438</v>
      </c>
      <c r="E1443" t="str">
        <f t="shared" si="884"/>
        <v>billion km/yr.</v>
      </c>
      <c r="F1443" s="1" cm="1">
        <f t="array" ref="F1443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SUMPRODUCT(("T_B_c-HYBDSL-S1"=[1]OUT_TransportEnergyCons!$A$3:$A$1000)*1,("var_fout"=[1]OUT_TransportEnergyCons!$B$3:$B$1000)*1,ISNUMBER(SEARCH("TPBSc",[1]OUT_TransportEnergyCons!$C$3:$C$1000))*1,[1]OUT_TransportEnergyCons!E$3:E$1000)</f>
        <v>2.2567121685397105E-4</v>
      </c>
      <c r="H1443" s="1" cm="1">
        <f t="array" ref="H1443">SUMPRODUCT(("T_B_c-HYBDSL-S1"=[1]OUT_TransportEnergyCons!$A$3:$A$1000)*1,("var_fout"=[1]OUT_TransportEnergyCons!$B$3:$B$1000)*1,ISNUMBER(SEARCH("TPBSc",[1]OUT_TransportEnergyCons!$C$3:$C$1000))*1,[1]OUT_TransportEnergyCons!F$3:F$1000)</f>
        <v>2.993183897182301E-4</v>
      </c>
      <c r="I1443" s="1" cm="1">
        <f t="array" ref="I1443">SUMPRODUCT(("T_B_c-HYBDSL-S1"=[1]OUT_TransportEnergyCons!$A$3:$A$1000)*1,("var_fout"=[1]OUT_TransportEnergyCons!$B$3:$B$1000)*1,ISNUMBER(SEARCH("TPBSc",[1]OUT_TransportEnergyCons!$C$3:$C$1000))*1,[1]OUT_TransportEnergyCons!G$3:G$1000)</f>
        <v>1.7765450598771274E-4</v>
      </c>
      <c r="J1443" s="1" cm="1">
        <f t="array" ref="J1443">SUMPRODUCT(("T_B_c-HYBDSL-S1"=[1]OUT_TransportEnergyCons!$A$3:$A$1000)*1,("var_fout"=[1]OUT_TransportEnergyCons!$B$3:$B$1000)*1,ISNUMBER(SEARCH("TPBSc",[1]OUT_TransportEnergyCons!$C$3:$C$1000))*1,[1]OUT_TransportEnergyCons!H$3:H$1000)</f>
        <v>1.0384337642646978E-3</v>
      </c>
      <c r="K1443" s="1" cm="1">
        <f t="array" ref="K1443">SUMPRODUCT(("T_B_c-HYBDSL-S1"=[1]OUT_TransportEnergyCons!$A$3:$A$1000)*1,("var_fout"=[1]OUT_TransportEnergyCons!$B$3:$B$1000)*1,ISNUMBER(SEARCH("TPBSc",[1]OUT_TransportEnergyCons!$C$3:$C$1000))*1,[1]OUT_TransportEnergyCons!I$3:I$1000)</f>
        <v>4.1805428579426792E-4</v>
      </c>
    </row>
    <row r="1444" spans="2:11" x14ac:dyDescent="0.35">
      <c r="B1444" s="5" t="str">
        <f t="shared" si="834"/>
        <v>SPS4</v>
      </c>
      <c r="C1444" s="5" t="str">
        <f t="shared" si="883"/>
        <v>CH</v>
      </c>
      <c r="D1444" t="s">
        <v>1439</v>
      </c>
      <c r="E1444" t="str">
        <f t="shared" si="884"/>
        <v>billion km/yr.</v>
      </c>
      <c r="F1444" s="1" cm="1">
        <f t="array" ref="F1444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SUMPRODUCT(("T_B_c-HYBDSL-S2"=[1]OUT_TransportEnergyCons!$A$3:$A$1000)*1,("var_fout"=[1]OUT_TransportEnergyCons!$B$3:$B$1000)*1,ISNUMBER(SEARCH("TPBSc",[1]OUT_TransportEnergyCons!$C$3:$C$1000))*1,[1]OUT_TransportEnergyCons!E$3:E$1000)</f>
        <v>4.3018053953228794E-5</v>
      </c>
      <c r="H1444" s="1" cm="1">
        <f t="array" ref="H1444">SUMPRODUCT(("T_B_c-HYBDSL-S2"=[1]OUT_TransportEnergyCons!$A$3:$A$1000)*1,("var_fout"=[1]OUT_TransportEnergyCons!$B$3:$B$1000)*1,ISNUMBER(SEARCH("TPBSc",[1]OUT_TransportEnergyCons!$C$3:$C$1000))*1,[1]OUT_TransportEnergyCons!F$3:F$1000)</f>
        <v>5.6495481289347647E-3</v>
      </c>
      <c r="I1444" s="1" cm="1">
        <f t="array" ref="I1444">SUMPRODUCT(("T_B_c-HYBDSL-S2"=[1]OUT_TransportEnergyCons!$A$3:$A$1000)*1,("var_fout"=[1]OUT_TransportEnergyCons!$B$3:$B$1000)*1,ISNUMBER(SEARCH("TPBSc",[1]OUT_TransportEnergyCons!$C$3:$C$1000))*1,[1]OUT_TransportEnergyCons!G$3:G$1000)</f>
        <v>3.4810733205222086E-2</v>
      </c>
      <c r="J1444" s="1" cm="1">
        <f t="array" ref="J1444">SUMPRODUCT(("T_B_c-HYBDSL-S2"=[1]OUT_TransportEnergyCons!$A$3:$A$1000)*1,("var_fout"=[1]OUT_TransportEnergyCons!$B$3:$B$1000)*1,ISNUMBER(SEARCH("TPBSc",[1]OUT_TransportEnergyCons!$C$3:$C$1000))*1,[1]OUT_TransportEnergyCons!H$3:H$1000)</f>
        <v>3.4240102601435736E-2</v>
      </c>
      <c r="K1444" s="1" cm="1">
        <f t="array" ref="K1444">SUMPRODUCT(("T_B_c-HYBDSL-S2"=[1]OUT_TransportEnergyCons!$A$3:$A$1000)*1,("var_fout"=[1]OUT_TransportEnergyCons!$B$3:$B$1000)*1,ISNUMBER(SEARCH("TPBSc",[1]OUT_TransportEnergyCons!$C$3:$C$1000))*1,[1]OUT_TransportEnergyCons!I$3:I$1000)</f>
        <v>3.3620392795870438E-2</v>
      </c>
    </row>
    <row r="1445" spans="2:11" x14ac:dyDescent="0.35">
      <c r="B1445" s="5" t="str">
        <f t="shared" si="834"/>
        <v>SPS4</v>
      </c>
      <c r="C1445" s="5" t="str">
        <f t="shared" si="883"/>
        <v>CH</v>
      </c>
      <c r="D1445" t="s">
        <v>1440</v>
      </c>
      <c r="E1445" t="str">
        <f t="shared" si="884"/>
        <v>billion km/yr.</v>
      </c>
      <c r="F1445" s="1" cm="1">
        <f t="array" ref="F1445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SUMPRODUCT(("T_B_c-HYBDSL-S3"=[1]OUT_TransportEnergyCons!$A$3:$A$1000)*1,("var_fout"=[1]OUT_TransportEnergyCons!$B$3:$B$1000)*1,ISNUMBER(SEARCH("TPBSc",[1]OUT_TransportEnergyCons!$C$3:$C$1000))*1,[1]OUT_TransportEnergyCons!E$3:E$1000)</f>
        <v>1.7752143554895776E-5</v>
      </c>
      <c r="H1445" s="1" cm="1">
        <f t="array" ref="H1445">SUMPRODUCT(("T_B_c-HYBDSL-S3"=[1]OUT_TransportEnergyCons!$A$3:$A$1000)*1,("var_fout"=[1]OUT_TransportEnergyCons!$B$3:$B$1000)*1,ISNUMBER(SEARCH("TPBSc",[1]OUT_TransportEnergyCons!$C$3:$C$1000))*1,[1]OUT_TransportEnergyCons!F$3:F$1000)</f>
        <v>2.6208944916904236E-4</v>
      </c>
      <c r="I1445" s="1" cm="1">
        <f t="array" ref="I1445">SUMPRODUCT(("T_B_c-HYBDSL-S3"=[1]OUT_TransportEnergyCons!$A$3:$A$1000)*1,("var_fout"=[1]OUT_TransportEnergyCons!$B$3:$B$1000)*1,ISNUMBER(SEARCH("TPBSc",[1]OUT_TransportEnergyCons!$C$3:$C$1000))*1,[1]OUT_TransportEnergyCons!G$3:G$1000)</f>
        <v>1.2133627489783066E-2</v>
      </c>
      <c r="J1445" s="1" cm="1">
        <f t="array" ref="J1445">SUMPRODUCT(("T_B_c-HYBDSL-S3"=[1]OUT_TransportEnergyCons!$A$3:$A$1000)*1,("var_fout"=[1]OUT_TransportEnergyCons!$B$3:$B$1000)*1,ISNUMBER(SEARCH("TPBSc",[1]OUT_TransportEnergyCons!$C$3:$C$1000))*1,[1]OUT_TransportEnergyCons!H$3:H$1000)</f>
        <v>1.1920991114504325E-2</v>
      </c>
      <c r="K1445" s="1" cm="1">
        <f t="array" ref="K1445">SUMPRODUCT(("T_B_c-HYBDSL-S3"=[1]OUT_TransportEnergyCons!$A$3:$A$1000)*1,("var_fout"=[1]OUT_TransportEnergyCons!$B$3:$B$1000)*1,ISNUMBER(SEARCH("TPBSc",[1]OUT_TransportEnergyCons!$C$3:$C$1000))*1,[1]OUT_TransportEnergyCons!I$3:I$1000)</f>
        <v>1.1763914254594594E-2</v>
      </c>
    </row>
    <row r="1446" spans="2:11" x14ac:dyDescent="0.35">
      <c r="B1446" s="5" t="str">
        <f t="shared" si="834"/>
        <v>SPS4</v>
      </c>
      <c r="C1446" s="5" t="str">
        <f t="shared" si="883"/>
        <v>CH</v>
      </c>
      <c r="D1446" t="s">
        <v>1441</v>
      </c>
      <c r="E1446" t="str">
        <f t="shared" si="884"/>
        <v>billion km/yr.</v>
      </c>
      <c r="F1446" s="1" cm="1">
        <f t="array" ref="F1446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SUMPRODUCT(("T_B_c-HYBDSL-S4"=[1]OUT_TransportEnergyCons!$A$3:$A$1000)*1,("var_fout"=[1]OUT_TransportEnergyCons!$B$3:$B$1000)*1,ISNUMBER(SEARCH("TPBSc",[1]OUT_TransportEnergyCons!$C$3:$C$1000))*1,[1]OUT_TransportEnergyCons!E$3:E$1000)</f>
        <v>1.1350423522517761E-6</v>
      </c>
      <c r="H1446" s="1" cm="1">
        <f t="array" ref="H1446">SUMPRODUCT(("T_B_c-HYBDSL-S4"=[1]OUT_TransportEnergyCons!$A$3:$A$1000)*1,("var_fout"=[1]OUT_TransportEnergyCons!$B$3:$B$1000)*1,ISNUMBER(SEARCH("TPBSc",[1]OUT_TransportEnergyCons!$C$3:$C$1000))*1,[1]OUT_TransportEnergyCons!F$3:F$1000)</f>
        <v>2.4016202855709669E-6</v>
      </c>
      <c r="I1446" s="1" cm="1">
        <f t="array" ref="I1446">SUMPRODUCT(("T_B_c-HYBDSL-S4"=[1]OUT_TransportEnergyCons!$A$3:$A$1000)*1,("var_fout"=[1]OUT_TransportEnergyCons!$B$3:$B$1000)*1,ISNUMBER(SEARCH("TPBSc",[1]OUT_TransportEnergyCons!$C$3:$C$1000))*1,[1]OUT_TransportEnergyCons!G$3:G$1000)</f>
        <v>1.6812583430756912E-6</v>
      </c>
      <c r="J1446" s="1" cm="1">
        <f t="array" ref="J1446">SUMPRODUCT(("T_B_c-HYBDSL-S4"=[1]OUT_TransportEnergyCons!$A$3:$A$1000)*1,("var_fout"=[1]OUT_TransportEnergyCons!$B$3:$B$1000)*1,ISNUMBER(SEARCH("TPBSc",[1]OUT_TransportEnergyCons!$C$3:$C$1000))*1,[1]OUT_TransportEnergyCons!H$3:H$1000)</f>
        <v>2.8699908242265972E-6</v>
      </c>
      <c r="K1446" s="1" cm="1">
        <f t="array" ref="K1446">SUMPRODUCT(("T_B_c-HYBDSL-S4"=[1]OUT_TransportEnergyCons!$A$3:$A$1000)*1,("var_fout"=[1]OUT_TransportEnergyCons!$B$3:$B$1000)*1,ISNUMBER(SEARCH("TPBSc",[1]OUT_TransportEnergyCons!$C$3:$C$1000))*1,[1]OUT_TransportEnergyCons!I$3:I$1000)</f>
        <v>2.0334501187401649E-7</v>
      </c>
    </row>
    <row r="1447" spans="2:11" x14ac:dyDescent="0.35">
      <c r="B1447" s="5" t="str">
        <f t="shared" si="834"/>
        <v>SPS4</v>
      </c>
      <c r="C1447" s="5" t="str">
        <f t="shared" si="883"/>
        <v>CH</v>
      </c>
      <c r="D1447" t="s">
        <v>2117</v>
      </c>
      <c r="E1447" t="str">
        <f t="shared" si="884"/>
        <v>billion km/yr.</v>
      </c>
      <c r="F1447" s="1" cm="1">
        <f t="array" ref="F1447">SUMPRODUCT(("T_B_c-ICEDSLEXT"=[1]OUT_TransportEnergyCons!$A$3:$A$1000)*1,("var_fout"=[1]OUT_TransportEnergyCons!$B$3:$B$1000)*1,ISNUMBER(SEARCH("TPBSc",[1]OUT_TransportEnergyCons!$C$3:$C$1000))*1,[1]OUT_TransportEnergyCons!D$3:D$1000)</f>
        <v>5.9980831233282995E-2</v>
      </c>
      <c r="G1447" s="1" cm="1">
        <f t="array" ref="G1447">SUMPRODUCT(("T_B_c-ICEDSLEXT"=[1]OUT_TransportEnergyCons!$A$3:$A$1000)*1,("var_fout"=[1]OUT_TransportEnergyCons!$B$3:$B$1000)*1,ISNUMBER(SEARCH("TPBSc",[1]OUT_TransportEnergyCons!$C$3:$C$1000))*1,[1]OUT_TransportEnergyCons!E$3:E$1000)</f>
        <v>4.7990584127102366E-2</v>
      </c>
      <c r="H1447" s="1" cm="1">
        <f t="array" ref="H1447">SUMPRODUCT(("T_B_c-ICEDSLEXT"=[1]OUT_TransportEnergyCons!$A$3:$A$1000)*1,("var_fout"=[1]OUT_TransportEnergyCons!$B$3:$B$1000)*1,ISNUMBER(SEARCH("TPBSc",[1]OUT_TransportEnergyCons!$C$3:$C$1000))*1,[1]OUT_TransportEnergyCons!F$3:F$1000)</f>
        <v>2.9994405591526174E-2</v>
      </c>
      <c r="I1447" s="1" cm="1">
        <f t="array" ref="I1447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7" s="1" cm="1">
        <f t="array" ref="J1447">SUMPRODUCT(("T_B_c-ICEDSLEXT"=[1]OUT_TransportEnergyCons!$A$3:$A$1000)*1,("var_fout"=[1]OUT_TransportEnergyCons!$B$3:$B$1000)*1,ISNUMBER(SEARCH("TPBSc",[1]OUT_TransportEnergyCons!$C$3:$C$1000))*1,[1]OUT_TransportEnergyCons!H$3:H$1000)</f>
        <v>0</v>
      </c>
      <c r="K1447" s="1" cm="1">
        <f t="array" ref="K1447">SUMPRODUCT(("T_B_c-ICEDSLEXT"=[1]OUT_TransportEnergyCons!$A$3:$A$1000)*1,("var_fout"=[1]OUT_TransportEnergyCons!$B$3:$B$1000)*1,ISNUMBER(SEARCH("TPBSc",[1]OUT_TransportEnergyCons!$C$3:$C$1000))*1,[1]OUT_TransportEnergyCons!I$3:I$1000)</f>
        <v>0</v>
      </c>
    </row>
    <row r="1448" spans="2:11" x14ac:dyDescent="0.35">
      <c r="B1448" s="5" t="str">
        <f t="shared" si="834"/>
        <v>SPS4</v>
      </c>
      <c r="C1448" s="5" t="str">
        <f t="shared" si="883"/>
        <v>CH</v>
      </c>
      <c r="D1448" t="s">
        <v>1442</v>
      </c>
      <c r="E1448" t="str">
        <f t="shared" si="884"/>
        <v>billion km/yr.</v>
      </c>
      <c r="F1448" s="1" cm="1">
        <f t="array" ref="F1448">SUMPRODUCT(("T_B_c-ICEDSL-S1"=[1]OUT_TransportEnergyCons!$A$3:$A$1000)*1,("var_fout"=[1]OUT_TransportEnergyCons!$B$3:$B$1000)*1,ISNUMBER(SEARCH("TPBSc",[1]OUT_TransportEnergyCons!$C$3:$C$1000))*1,[1]OUT_TransportEnergyCons!D$3:D$1000)</f>
        <v>1.4059800732927024E-2</v>
      </c>
      <c r="G1448" s="1" cm="1">
        <f t="array" ref="G1448">SUMPRODUCT(("T_B_c-ICEDSL-S1"=[1]OUT_TransportEnergyCons!$A$3:$A$1000)*1,("var_fout"=[1]OUT_TransportEnergyCons!$B$3:$B$1000)*1,ISNUMBER(SEARCH("TPBSc",[1]OUT_TransportEnergyCons!$C$3:$C$1000))*1,[1]OUT_TransportEnergyCons!E$3:E$1000)</f>
        <v>3.9312863209193812E-2</v>
      </c>
      <c r="H1448" s="1" cm="1">
        <f t="array" ref="H1448">SUMPRODUCT(("T_B_c-ICEDSL-S1"=[1]OUT_TransportEnergyCons!$A$3:$A$1000)*1,("var_fout"=[1]OUT_TransportEnergyCons!$B$3:$B$1000)*1,ISNUMBER(SEARCH("TPBSc",[1]OUT_TransportEnergyCons!$C$3:$C$1000))*1,[1]OUT_TransportEnergyCons!F$3:F$1000)</f>
        <v>4.8423475164096334E-2</v>
      </c>
      <c r="I1448" s="1" cm="1">
        <f t="array" ref="I1448">SUMPRODUCT(("T_B_c-ICEDSL-S1"=[1]OUT_TransportEnergyCons!$A$3:$A$1000)*1,("var_fout"=[1]OUT_TransportEnergyCons!$B$3:$B$1000)*1,ISNUMBER(SEARCH("TPBSc",[1]OUT_TransportEnergyCons!$C$3:$C$1000))*1,[1]OUT_TransportEnergyCons!G$3:G$1000)</f>
        <v>0</v>
      </c>
      <c r="J1448" s="1" cm="1">
        <f t="array" ref="J1448">SUMPRODUCT(("T_B_c-ICEDSL-S1"=[1]OUT_TransportEnergyCons!$A$3:$A$1000)*1,("var_fout"=[1]OUT_TransportEnergyCons!$B$3:$B$1000)*1,ISNUMBER(SEARCH("TPBSc",[1]OUT_TransportEnergyCons!$C$3:$C$1000))*1,[1]OUT_TransportEnergyCons!H$3:H$1000)</f>
        <v>0</v>
      </c>
      <c r="K1448" s="1" cm="1">
        <f t="array" ref="K1448">SUMPRODUCT(("T_B_c-ICEDSL-S1"=[1]OUT_TransportEnergyCons!$A$3:$A$1000)*1,("var_fout"=[1]OUT_TransportEnergyCons!$B$3:$B$1000)*1,ISNUMBER(SEARCH("TPBSc",[1]OUT_TransportEnergyCons!$C$3:$C$1000))*1,[1]OUT_TransportEnergyCons!I$3:I$1000)</f>
        <v>0</v>
      </c>
    </row>
    <row r="1449" spans="2:11" x14ac:dyDescent="0.35">
      <c r="B1449" s="5" t="str">
        <f t="shared" si="834"/>
        <v>SPS4</v>
      </c>
      <c r="C1449" s="5" t="str">
        <f t="shared" si="883"/>
        <v>CH</v>
      </c>
      <c r="D1449" t="s">
        <v>1443</v>
      </c>
      <c r="E1449" t="str">
        <f t="shared" si="884"/>
        <v>billion km/yr.</v>
      </c>
      <c r="F1449" s="1" cm="1">
        <f t="array" ref="F1449">SUMPRODUCT(("T_B_c-ICEDSL-S2"=[1]OUT_TransportEnergyCons!$A$3:$A$1000)*1,("var_fout"=[1]OUT_TransportEnergyCons!$B$3:$B$1000)*1,ISNUMBER(SEARCH("TPBSc",[1]OUT_TransportEnergyCons!$C$3:$C$1000))*1,[1]OUT_TransportEnergyCons!D$3:D$1000)</f>
        <v>4.5436305603684224E-2</v>
      </c>
      <c r="G1449" s="1" cm="1">
        <f t="array" ref="G1449">SUMPRODUCT(("T_B_c-ICEDSL-S2"=[1]OUT_TransportEnergyCons!$A$3:$A$1000)*1,("var_fout"=[1]OUT_TransportEnergyCons!$B$3:$B$1000)*1,ISNUMBER(SEARCH("TPBSc",[1]OUT_TransportEnergyCons!$C$3:$C$1000))*1,[1]OUT_TransportEnergyCons!E$3:E$1000)</f>
        <v>3.5031608086496295E-2</v>
      </c>
      <c r="H1449" s="1" cm="1">
        <f t="array" ref="H1449">SUMPRODUCT(("T_B_c-ICEDSL-S2"=[1]OUT_TransportEnergyCons!$A$3:$A$1000)*1,("var_fout"=[1]OUT_TransportEnergyCons!$B$3:$B$1000)*1,ISNUMBER(SEARCH("TPBSc",[1]OUT_TransportEnergyCons!$C$3:$C$1000))*1,[1]OUT_TransportEnergyCons!F$3:F$1000)</f>
        <v>3.7620691164082579E-2</v>
      </c>
      <c r="I1449" s="1" cm="1">
        <f t="array" ref="I1449">SUMPRODUCT(("T_B_c-ICEDSL-S2"=[1]OUT_TransportEnergyCons!$A$3:$A$1000)*1,("var_fout"=[1]OUT_TransportEnergyCons!$B$3:$B$1000)*1,ISNUMBER(SEARCH("TPBSc",[1]OUT_TransportEnergyCons!$C$3:$C$1000))*1,[1]OUT_TransportEnergyCons!G$3:G$1000)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SUMPRODUCT(("T_B_c-ICEDSL-S2"=[1]OUT_TransportEnergyCons!$A$3:$A$1000)*1,("var_fout"=[1]OUT_TransportEnergyCons!$B$3:$B$1000)*1,ISNUMBER(SEARCH("TPBSc",[1]OUT_TransportEnergyCons!$C$3:$C$1000))*1,[1]OUT_TransportEnergyCons!H$3:H$1000)</f>
        <v>0</v>
      </c>
      <c r="K1449" s="1" cm="1">
        <f t="array" ref="K1449">SUMPRODUCT(("T_B_c-ICEDSL-S2"=[1]OUT_TransportEnergyCons!$A$3:$A$1000)*1,("var_fout"=[1]OUT_TransportEnergyCons!$B$3:$B$1000)*1,ISNUMBER(SEARCH("TPBSc",[1]OUT_TransportEnergyCons!$C$3:$C$1000))*1,[1]OUT_TransportEnergyCons!I$3:I$1000)</f>
        <v>0</v>
      </c>
    </row>
    <row r="1450" spans="2:11" x14ac:dyDescent="0.35">
      <c r="B1450" s="5" t="str">
        <f t="shared" si="834"/>
        <v>SPS4</v>
      </c>
      <c r="C1450" s="5" t="str">
        <f t="shared" si="883"/>
        <v>CH</v>
      </c>
      <c r="D1450" t="s">
        <v>1444</v>
      </c>
      <c r="E1450" t="str">
        <f t="shared" si="884"/>
        <v>billion km/yr.</v>
      </c>
      <c r="F1450" s="1" cm="1">
        <f t="array" ref="F1450">SUMPRODUCT(("T_B_c-ICEDSL-S3"=[1]OUT_TransportEnergyCons!$A$3:$A$1000)*1,("var_fout"=[1]OUT_TransportEnergyCons!$B$3:$B$1000)*1,ISNUMBER(SEARCH("TPBSc",[1]OUT_TransportEnergyCons!$C$3:$C$1000))*1,[1]OUT_TransportEnergyCons!D$3:D$1000)</f>
        <v>9.228697065050348E-3</v>
      </c>
      <c r="G1450" s="1" cm="1">
        <f t="array" ref="G1450">SUMPRODUCT(("T_B_c-ICEDSL-S3"=[1]OUT_TransportEnergyCons!$A$3:$A$1000)*1,("var_fout"=[1]OUT_TransportEnergyCons!$B$3:$B$1000)*1,ISNUMBER(SEARCH("TPBSc",[1]OUT_TransportEnergyCons!$C$3:$C$1000))*1,[1]OUT_TransportEnergyCons!E$3:E$1000)</f>
        <v>7.4303873530202789E-3</v>
      </c>
      <c r="H1450" s="1" cm="1">
        <f t="array" ref="H1450">SUMPRODUCT(("T_B_c-ICEDSL-S3"=[1]OUT_TransportEnergyCons!$A$3:$A$1000)*1,("var_fout"=[1]OUT_TransportEnergyCons!$B$3:$B$1000)*1,ISNUMBER(SEARCH("TPBSc",[1]OUT_TransportEnergyCons!$C$3:$C$1000))*1,[1]OUT_TransportEnergyCons!F$3:F$1000)</f>
        <v>8.9251394961026558E-3</v>
      </c>
      <c r="I1450" s="1" cm="1">
        <f t="array" ref="I1450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0" s="1" cm="1">
        <f t="array" ref="J1450">SUMPRODUCT(("T_B_c-ICEDSL-S3"=[1]OUT_TransportEnergyCons!$A$3:$A$1000)*1,("var_fout"=[1]OUT_TransportEnergyCons!$B$3:$B$1000)*1,ISNUMBER(SEARCH("TPBSc",[1]OUT_TransportEnergyCons!$C$3:$C$1000))*1,[1]OUT_TransportEnergyCons!H$3:H$1000)</f>
        <v>0</v>
      </c>
      <c r="K1450" s="1" cm="1">
        <f t="array" ref="K1450">SUMPRODUCT(("T_B_c-ICEDSL-S3"=[1]OUT_TransportEnergyCons!$A$3:$A$1000)*1,("var_fout"=[1]OUT_TransportEnergyCons!$B$3:$B$1000)*1,ISNUMBER(SEARCH("TPBSc",[1]OUT_TransportEnergyCons!$C$3:$C$1000))*1,[1]OUT_TransportEnergyCons!I$3:I$1000)</f>
        <v>0</v>
      </c>
    </row>
    <row r="1451" spans="2:11" x14ac:dyDescent="0.35">
      <c r="B1451" s="5" t="str">
        <f t="shared" si="834"/>
        <v>SPS4</v>
      </c>
      <c r="C1451" s="5" t="str">
        <f t="shared" si="883"/>
        <v>CH</v>
      </c>
      <c r="D1451" t="s">
        <v>1445</v>
      </c>
      <c r="E1451" t="str">
        <f t="shared" si="884"/>
        <v>billion km/yr.</v>
      </c>
      <c r="F1451" s="1" cm="1">
        <f t="array" ref="F1451">SUMPRODUCT(("T_B_c-ICEDSL-S4"=[1]OUT_TransportEnergyCons!$A$3:$A$1000)*1,("var_fout"=[1]OUT_TransportEnergyCons!$B$3:$B$1000)*1,ISNUMBER(SEARCH("TPBSc",[1]OUT_TransportEnergyCons!$C$3:$C$1000))*1,[1]OUT_TransportEnergyCons!D$3:D$1000)</f>
        <v>5.314500837394296E-4</v>
      </c>
      <c r="G1451" s="1" cm="1">
        <f t="array" ref="G1451">SUMPRODUCT(("T_B_c-ICEDSL-S4"=[1]OUT_TransportEnergyCons!$A$3:$A$1000)*1,("var_fout"=[1]OUT_TransportEnergyCons!$B$3:$B$1000)*1,ISNUMBER(SEARCH("TPBSc",[1]OUT_TransportEnergyCons!$C$3:$C$1000))*1,[1]OUT_TransportEnergyCons!E$3:E$1000)</f>
        <v>5.3971822685044499E-6</v>
      </c>
      <c r="H1451" s="1" cm="1">
        <f t="array" ref="H1451">SUMPRODUCT(("T_B_c-ICEDSL-S4"=[1]OUT_TransportEnergyCons!$A$3:$A$1000)*1,("var_fout"=[1]OUT_TransportEnergyCons!$B$3:$B$1000)*1,ISNUMBER(SEARCH("TPBSc",[1]OUT_TransportEnergyCons!$C$3:$C$1000))*1,[1]OUT_TransportEnergyCons!F$3:F$1000)</f>
        <v>1.1158927300865974E-5</v>
      </c>
      <c r="I1451" s="1" cm="1">
        <f t="array" ref="I1451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1" s="1" cm="1">
        <f t="array" ref="J1451">SUMPRODUCT(("T_B_c-ICEDSL-S4"=[1]OUT_TransportEnergyCons!$A$3:$A$1000)*1,("var_fout"=[1]OUT_TransportEnergyCons!$B$3:$B$1000)*1,ISNUMBER(SEARCH("TPBSc",[1]OUT_TransportEnergyCons!$C$3:$C$1000))*1,[1]OUT_TransportEnergyCons!H$3:H$1000)</f>
        <v>0</v>
      </c>
      <c r="K1451" s="1" cm="1">
        <f t="array" ref="K1451">SUMPRODUCT(("T_B_c-ICEDSL-S4"=[1]OUT_TransportEnergyCons!$A$3:$A$1000)*1,("var_fout"=[1]OUT_TransportEnergyCons!$B$3:$B$1000)*1,ISNUMBER(SEARCH("TPBSc",[1]OUT_TransportEnergyCons!$C$3:$C$1000))*1,[1]OUT_TransportEnergyCons!I$3:I$1000)</f>
        <v>0</v>
      </c>
    </row>
    <row r="1452" spans="2:11" x14ac:dyDescent="0.35">
      <c r="B1452" s="5" t="str">
        <f t="shared" si="834"/>
        <v>SPS4</v>
      </c>
      <c r="C1452" s="5" t="str">
        <f t="shared" si="883"/>
        <v>CH</v>
      </c>
      <c r="D1452" t="s">
        <v>2120</v>
      </c>
      <c r="E1452" t="str">
        <f t="shared" si="884"/>
        <v>billion km/yr.</v>
      </c>
      <c r="F1452" s="1" cm="1">
        <f t="array" ref="F1452">SUMPRODUCT(("T_B_c-ICEngaEXT"=[1]OUT_TransportEnergyCons!$A$3:$A$1000)*1,("var_fout"=[1]OUT_TransportEnergyCons!$B$3:$B$1000)*1,ISNUMBER(SEARCH("TPBSc",[1]OUT_TransportEnergyCons!$C$3:$C$1000))*1,[1]OUT_TransportEnergyCons!D$3:D$1000)</f>
        <v>1.3758810508397129E-3</v>
      </c>
      <c r="G1452" s="1" cm="1">
        <f t="array" ref="G1452">SUMPRODUCT(("T_B_c-ICEngaEXT"=[1]OUT_TransportEnergyCons!$A$3:$A$1000)*1,("var_fout"=[1]OUT_TransportEnergyCons!$B$3:$B$1000)*1,ISNUMBER(SEARCH("TPBSc",[1]OUT_TransportEnergyCons!$C$3:$C$1000))*1,[1]OUT_TransportEnergyCons!E$3:E$1000)</f>
        <v>1.1084675739647476E-3</v>
      </c>
      <c r="H1452" s="1" cm="1">
        <f t="array" ref="H1452">SUMPRODUCT(("T_B_c-ICEngaEXT"=[1]OUT_TransportEnergyCons!$A$3:$A$1000)*1,("var_fout"=[1]OUT_TransportEnergyCons!$B$3:$B$1000)*1,ISNUMBER(SEARCH("TPBSc",[1]OUT_TransportEnergyCons!$C$3:$C$1000))*1,[1]OUT_TransportEnergyCons!F$3:F$1000)</f>
        <v>6.8930711697610524E-4</v>
      </c>
      <c r="I1452" s="1" cm="1">
        <f t="array" ref="I1452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SUMPRODUCT(("T_B_c-ICEngaEXT"=[1]OUT_TransportEnergyCons!$A$3:$A$1000)*1,("var_fout"=[1]OUT_TransportEnergyCons!$B$3:$B$1000)*1,ISNUMBER(SEARCH("TPBSc",[1]OUT_TransportEnergyCons!$C$3:$C$1000))*1,[1]OUT_TransportEnergyCons!H$3:H$1000)</f>
        <v>0</v>
      </c>
      <c r="K1452" s="1" cm="1">
        <f t="array" ref="K1452">SUMPRODUCT(("T_B_c-ICEngaEXT"=[1]OUT_TransportEnergyCons!$A$3:$A$1000)*1,("var_fout"=[1]OUT_TransportEnergyCons!$B$3:$B$1000)*1,ISNUMBER(SEARCH("TPBSc",[1]OUT_TransportEnergyCons!$C$3:$C$1000))*1,[1]OUT_TransportEnergyCons!I$3:I$1000)</f>
        <v>0</v>
      </c>
    </row>
    <row r="1453" spans="2:11" x14ac:dyDescent="0.35">
      <c r="B1453" s="5" t="str">
        <f t="shared" si="834"/>
        <v>SPS4</v>
      </c>
      <c r="C1453" s="5" t="str">
        <f t="shared" si="883"/>
        <v>CH</v>
      </c>
      <c r="D1453" t="s">
        <v>1446</v>
      </c>
      <c r="E1453" t="str">
        <f t="shared" si="884"/>
        <v>billion km/yr.</v>
      </c>
      <c r="F1453" s="1" cm="1">
        <f t="array" ref="F1453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3" s="1" cm="1">
        <f t="array" ref="G1453">SUMPRODUCT(("T_B_c-ICEnga-S1"=[1]OUT_TransportEnergyCons!$A$3:$A$1000)*1,("var_fout"=[1]OUT_TransportEnergyCons!$B$3:$B$1000)*1,ISNUMBER(SEARCH("TPBSc",[1]OUT_TransportEnergyCons!$C$3:$C$1000))*1,[1]OUT_TransportEnergyCons!E$3:E$1000)</f>
        <v>1.525342527560525E-5</v>
      </c>
      <c r="H1453" s="1" cm="1">
        <f t="array" ref="H1453">SUMPRODUCT(("T_B_c-ICEnga-S1"=[1]OUT_TransportEnergyCons!$A$3:$A$1000)*1,("var_fout"=[1]OUT_TransportEnergyCons!$B$3:$B$1000)*1,ISNUMBER(SEARCH("TPBSc",[1]OUT_TransportEnergyCons!$C$3:$C$1000))*1,[1]OUT_TransportEnergyCons!F$3:F$1000)</f>
        <v>9.3417711497848651E-5</v>
      </c>
      <c r="I1453" s="1" cm="1">
        <f t="array" ref="I1453">SUMPRODUCT(("T_B_c-ICEnga-S1"=[1]OUT_TransportEnergyCons!$A$3:$A$1000)*1,("var_fout"=[1]OUT_TransportEnergyCons!$B$3:$B$1000)*1,ISNUMBER(SEARCH("TPBSc",[1]OUT_TransportEnergyCons!$C$3:$C$1000))*1,[1]OUT_TransportEnergyCons!G$3:G$1000)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SUMPRODUCT(("T_B_c-ICEnga-S1"=[1]OUT_TransportEnergyCons!$A$3:$A$1000)*1,("var_fout"=[1]OUT_TransportEnergyCons!$B$3:$B$1000)*1,ISNUMBER(SEARCH("TPBSc",[1]OUT_TransportEnergyCons!$C$3:$C$1000))*1,[1]OUT_TransportEnergyCons!H$3:H$1000)</f>
        <v>0</v>
      </c>
      <c r="K1453" s="1" cm="1">
        <f t="array" ref="K1453">SUMPRODUCT(("T_B_c-ICEnga-S1"=[1]OUT_TransportEnergyCons!$A$3:$A$1000)*1,("var_fout"=[1]OUT_TransportEnergyCons!$B$3:$B$1000)*1,ISNUMBER(SEARCH("TPBSc",[1]OUT_TransportEnergyCons!$C$3:$C$1000))*1,[1]OUT_TransportEnergyCons!I$3:I$1000)</f>
        <v>0</v>
      </c>
    </row>
    <row r="1454" spans="2:11" x14ac:dyDescent="0.35">
      <c r="B1454" s="5" t="str">
        <f t="shared" si="834"/>
        <v>SPS4</v>
      </c>
      <c r="C1454" s="5" t="str">
        <f t="shared" si="883"/>
        <v>CH</v>
      </c>
      <c r="D1454" t="s">
        <v>1447</v>
      </c>
      <c r="E1454" t="str">
        <f t="shared" si="884"/>
        <v>billion km/yr.</v>
      </c>
      <c r="F1454" s="1" cm="1">
        <f t="array" ref="F1454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4" s="1" cm="1">
        <f t="array" ref="G1454">SUMPRODUCT(("T_B_c-ICEnga-S2"=[1]OUT_TransportEnergyCons!$A$3:$A$1000)*1,("var_fout"=[1]OUT_TransportEnergyCons!$B$3:$B$1000)*1,ISNUMBER(SEARCH("TPBSc",[1]OUT_TransportEnergyCons!$C$3:$C$1000))*1,[1]OUT_TransportEnergyCons!E$3:E$1000)</f>
        <v>6.5739189728700541E-6</v>
      </c>
      <c r="H1454" s="1" cm="1">
        <f t="array" ref="H1454">SUMPRODUCT(("T_B_c-ICEnga-S2"=[1]OUT_TransportEnergyCons!$A$3:$A$1000)*1,("var_fout"=[1]OUT_TransportEnergyCons!$B$3:$B$1000)*1,ISNUMBER(SEARCH("TPBSc",[1]OUT_TransportEnergyCons!$C$3:$C$1000))*1,[1]OUT_TransportEnergyCons!F$3:F$1000)</f>
        <v>3.8918245453508507E-5</v>
      </c>
      <c r="I1454" s="1" cm="1">
        <f t="array" ref="I1454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SUMPRODUCT(("T_B_c-ICEnga-S2"=[1]OUT_TransportEnergyCons!$A$3:$A$1000)*1,("var_fout"=[1]OUT_TransportEnergyCons!$B$3:$B$1000)*1,ISNUMBER(SEARCH("TPBSc",[1]OUT_TransportEnergyCons!$C$3:$C$1000))*1,[1]OUT_TransportEnergyCons!H$3:H$1000)</f>
        <v>0</v>
      </c>
      <c r="K1454" s="1" cm="1">
        <f t="array" ref="K1454">SUMPRODUCT(("T_B_c-ICEnga-S2"=[1]OUT_TransportEnergyCons!$A$3:$A$1000)*1,("var_fout"=[1]OUT_TransportEnergyCons!$B$3:$B$1000)*1,ISNUMBER(SEARCH("TPBSc",[1]OUT_TransportEnergyCons!$C$3:$C$1000))*1,[1]OUT_TransportEnergyCons!I$3:I$1000)</f>
        <v>0</v>
      </c>
    </row>
    <row r="1455" spans="2:11" x14ac:dyDescent="0.35">
      <c r="B1455" s="5" t="str">
        <f t="shared" si="834"/>
        <v>SPS4</v>
      </c>
      <c r="C1455" s="5" t="str">
        <f t="shared" si="883"/>
        <v>CH</v>
      </c>
      <c r="D1455" t="s">
        <v>1448</v>
      </c>
      <c r="E1455" t="str">
        <f t="shared" si="884"/>
        <v>billion km/yr.</v>
      </c>
      <c r="F1455" s="1" cm="1">
        <f t="array" ref="F1455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SUMPRODUCT(("T_B_c-ICEnga-S3"=[1]OUT_TransportEnergyCons!$A$3:$A$1000)*1,("var_fout"=[1]OUT_TransportEnergyCons!$B$3:$B$1000)*1,ISNUMBER(SEARCH("TPBSc",[1]OUT_TransportEnergyCons!$C$3:$C$1000))*1,[1]OUT_TransportEnergyCons!E$3:E$1000)</f>
        <v>3.2630621901497902E-6</v>
      </c>
      <c r="H1455" s="1" cm="1">
        <f t="array" ref="H1455">SUMPRODUCT(("T_B_c-ICEnga-S3"=[1]OUT_TransportEnergyCons!$A$3:$A$1000)*1,("var_fout"=[1]OUT_TransportEnergyCons!$B$3:$B$1000)*1,ISNUMBER(SEARCH("TPBSc",[1]OUT_TransportEnergyCons!$C$3:$C$1000))*1,[1]OUT_TransportEnergyCons!F$3:F$1000)</f>
        <v>1.613457859514832E-5</v>
      </c>
      <c r="I1455" s="1" cm="1">
        <f t="array" ref="I1455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5" s="1" cm="1">
        <f t="array" ref="J1455">SUMPRODUCT(("T_B_c-ICEnga-S3"=[1]OUT_TransportEnergyCons!$A$3:$A$1000)*1,("var_fout"=[1]OUT_TransportEnergyCons!$B$3:$B$1000)*1,ISNUMBER(SEARCH("TPBSc",[1]OUT_TransportEnergyCons!$C$3:$C$1000))*1,[1]OUT_TransportEnergyCons!H$3:H$1000)</f>
        <v>0</v>
      </c>
      <c r="K1455" s="1" cm="1">
        <f t="array" ref="K1455">SUMPRODUCT(("T_B_c-ICEnga-S3"=[1]OUT_TransportEnergyCons!$A$3:$A$1000)*1,("var_fout"=[1]OUT_TransportEnergyCons!$B$3:$B$1000)*1,ISNUMBER(SEARCH("TPBSc",[1]OUT_TransportEnergyCons!$C$3:$C$1000))*1,[1]OUT_TransportEnergyCons!I$3:I$1000)</f>
        <v>0</v>
      </c>
    </row>
    <row r="1456" spans="2:11" x14ac:dyDescent="0.35">
      <c r="B1456" s="5" t="str">
        <f t="shared" si="834"/>
        <v>SPS4</v>
      </c>
      <c r="C1456" s="5" t="str">
        <f t="shared" si="883"/>
        <v>CH</v>
      </c>
      <c r="D1456" t="s">
        <v>1449</v>
      </c>
      <c r="E1456" t="str">
        <f t="shared" si="884"/>
        <v>billion km/yr.</v>
      </c>
      <c r="F1456" s="1" cm="1">
        <f t="array" ref="F1456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SUMPRODUCT(("T_B_c-ICEnga-S4"=[1]OUT_TransportEnergyCons!$A$3:$A$1000)*1,("var_fout"=[1]OUT_TransportEnergyCons!$B$3:$B$1000)*1,ISNUMBER(SEARCH("TPBSc",[1]OUT_TransportEnergyCons!$C$3:$C$1000))*1,[1]OUT_TransportEnergyCons!E$3:E$1000)</f>
        <v>0</v>
      </c>
      <c r="H1456" s="1" cm="1">
        <f t="array" ref="H1456">SUMPRODUCT(("T_B_c-ICEnga-S4"=[1]OUT_TransportEnergyCons!$A$3:$A$1000)*1,("var_fout"=[1]OUT_TransportEnergyCons!$B$3:$B$1000)*1,ISNUMBER(SEARCH("TPBSc",[1]OUT_TransportEnergyCons!$C$3:$C$1000))*1,[1]OUT_TransportEnergyCons!F$3:F$1000)</f>
        <v>6.9311328614062663E-7</v>
      </c>
      <c r="I1456" s="1" cm="1">
        <f t="array" ref="I1456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SUMPRODUCT(("T_B_c-ICEnga-S4"=[1]OUT_TransportEnergyCons!$A$3:$A$1000)*1,("var_fout"=[1]OUT_TransportEnergyCons!$B$3:$B$1000)*1,ISNUMBER(SEARCH("TPBSc",[1]OUT_TransportEnergyCons!$C$3:$C$1000))*1,[1]OUT_TransportEnergyCons!H$3:H$1000)</f>
        <v>0</v>
      </c>
      <c r="K1456" s="1" cm="1">
        <f t="array" ref="K1456">SUMPRODUCT(("T_B_c-ICEnga-S4"=[1]OUT_TransportEnergyCons!$A$3:$A$1000)*1,("var_fout"=[1]OUT_TransportEnergyCons!$B$3:$B$1000)*1,ISNUMBER(SEARCH("TPBSc",[1]OUT_TransportEnergyCons!$C$3:$C$1000))*1,[1]OUT_TransportEnergyCons!I$3:I$1000)</f>
        <v>0</v>
      </c>
    </row>
    <row r="1457" spans="2:11" x14ac:dyDescent="0.35">
      <c r="B1457" s="5" t="str">
        <f t="shared" si="834"/>
        <v>SPS4</v>
      </c>
      <c r="C1457" s="5" t="str">
        <f>C1456</f>
        <v>CH</v>
      </c>
      <c r="D1457" s="2" t="s">
        <v>1394</v>
      </c>
      <c r="E1457" s="2" t="s">
        <v>1230</v>
      </c>
      <c r="F1457" s="21" t="s">
        <v>292</v>
      </c>
      <c r="G1457" s="21" t="s">
        <v>292</v>
      </c>
      <c r="H1457" s="21" t="s">
        <v>292</v>
      </c>
      <c r="I1457" s="21" t="s">
        <v>292</v>
      </c>
      <c r="J1457" s="21" t="s">
        <v>292</v>
      </c>
      <c r="K1457" s="21" t="s">
        <v>292</v>
      </c>
    </row>
    <row r="1458" spans="2:11" x14ac:dyDescent="0.35">
      <c r="B1458" s="5" t="str">
        <f t="shared" si="834"/>
        <v>SPS4</v>
      </c>
      <c r="C1458" s="5" t="str">
        <f t="shared" ref="C1458:C1480" si="885">C1457</f>
        <v>CH</v>
      </c>
      <c r="D1458" t="s">
        <v>1450</v>
      </c>
      <c r="E1458" t="s">
        <v>1230</v>
      </c>
      <c r="F1458" s="1" t="str">
        <f>IFERROR(F1434/F1399,"-")</f>
        <v>-</v>
      </c>
      <c r="G1458" s="1" t="str">
        <f t="shared" ref="G1458:K1458" si="886">IFERROR(G1434/G1399,"-")</f>
        <v>-</v>
      </c>
      <c r="H1458" s="1" t="str">
        <f t="shared" si="886"/>
        <v>-</v>
      </c>
      <c r="I1458" s="1" t="str">
        <f t="shared" si="886"/>
        <v>-</v>
      </c>
      <c r="J1458" s="1" t="str">
        <f t="shared" si="886"/>
        <v>-</v>
      </c>
      <c r="K1458" s="1" t="str">
        <f t="shared" si="886"/>
        <v>-</v>
      </c>
    </row>
    <row r="1459" spans="2:11" x14ac:dyDescent="0.35">
      <c r="B1459" s="5" t="str">
        <f t="shared" si="834"/>
        <v>SPS4</v>
      </c>
      <c r="C1459" s="5" t="str">
        <f t="shared" si="885"/>
        <v>CH</v>
      </c>
      <c r="D1459" t="s">
        <v>1451</v>
      </c>
      <c r="E1459" t="s">
        <v>1230</v>
      </c>
      <c r="F1459" s="1">
        <f t="shared" ref="F1459:K1459" si="887">IFERROR(F1435/F1400,"-")</f>
        <v>0.37869321701871778</v>
      </c>
      <c r="G1459" s="1">
        <f t="shared" si="887"/>
        <v>0.38418793426639936</v>
      </c>
      <c r="H1459" s="1">
        <f t="shared" si="887"/>
        <v>0.39545726994725122</v>
      </c>
      <c r="I1459" s="1">
        <f t="shared" si="887"/>
        <v>0.44716286910395048</v>
      </c>
      <c r="J1459" s="1">
        <f t="shared" si="887"/>
        <v>0.47140324233390046</v>
      </c>
      <c r="K1459" s="1">
        <f t="shared" si="887"/>
        <v>0.53014897384947224</v>
      </c>
    </row>
    <row r="1460" spans="2:11" x14ac:dyDescent="0.35">
      <c r="B1460" s="5" t="str">
        <f t="shared" ref="B1460:B1523" si="888">B1459</f>
        <v>SPS4</v>
      </c>
      <c r="C1460" s="5" t="str">
        <f t="shared" si="885"/>
        <v>CH</v>
      </c>
      <c r="D1460" t="s">
        <v>1452</v>
      </c>
      <c r="E1460" t="s">
        <v>1230</v>
      </c>
      <c r="F1460" s="1">
        <f t="shared" ref="F1460:K1460" si="889">IFERROR(F1436/F1401,"-")</f>
        <v>0.27518070496490749</v>
      </c>
      <c r="G1460" s="1">
        <f t="shared" si="889"/>
        <v>0.27872933170975422</v>
      </c>
      <c r="H1460" s="1">
        <f t="shared" si="889"/>
        <v>0.2843947616962047</v>
      </c>
      <c r="I1460" s="1">
        <f t="shared" si="889"/>
        <v>0.32392566482699348</v>
      </c>
      <c r="J1460" s="1">
        <f t="shared" si="889"/>
        <v>0.35132817701778746</v>
      </c>
      <c r="K1460" s="1">
        <f t="shared" si="889"/>
        <v>0.3772835622608875</v>
      </c>
    </row>
    <row r="1461" spans="2:11" x14ac:dyDescent="0.35">
      <c r="B1461" s="5" t="str">
        <f t="shared" si="888"/>
        <v>SPS4</v>
      </c>
      <c r="C1461" s="5" t="str">
        <f t="shared" si="885"/>
        <v>CH</v>
      </c>
      <c r="D1461" t="s">
        <v>1453</v>
      </c>
      <c r="E1461" t="s">
        <v>1230</v>
      </c>
      <c r="F1461" s="1">
        <f t="shared" ref="F1461:K1461" si="890">IFERROR(F1437/F1402,"-")</f>
        <v>0.18297040713439916</v>
      </c>
      <c r="G1461" s="1">
        <f t="shared" si="890"/>
        <v>0.18470067420858288</v>
      </c>
      <c r="H1461" s="1">
        <f t="shared" si="890"/>
        <v>0.18711300258264801</v>
      </c>
      <c r="I1461" s="1">
        <f t="shared" si="890"/>
        <v>0.20344357126487039</v>
      </c>
      <c r="J1461" s="1">
        <f t="shared" si="890"/>
        <v>0.23407876952890602</v>
      </c>
      <c r="K1461" s="1">
        <f t="shared" si="890"/>
        <v>0.2535444783920377</v>
      </c>
    </row>
    <row r="1462" spans="2:11" x14ac:dyDescent="0.35">
      <c r="B1462" s="5" t="str">
        <f t="shared" si="888"/>
        <v>SPS4</v>
      </c>
      <c r="C1462" s="5" t="str">
        <f t="shared" si="885"/>
        <v>CH</v>
      </c>
      <c r="D1462" t="s">
        <v>1454</v>
      </c>
      <c r="E1462" t="s">
        <v>1230</v>
      </c>
      <c r="F1462" s="1" t="str">
        <f t="shared" ref="F1462:K1462" si="891">IFERROR(F1438/F1403,"-")</f>
        <v>-</v>
      </c>
      <c r="G1462" s="1">
        <f t="shared" si="891"/>
        <v>0.12643429100140413</v>
      </c>
      <c r="H1462" s="1">
        <f t="shared" si="891"/>
        <v>0.12963223014009295</v>
      </c>
      <c r="I1462" s="1">
        <f t="shared" si="891"/>
        <v>0.13955448834322348</v>
      </c>
      <c r="J1462" s="1">
        <f t="shared" si="891"/>
        <v>0.15722180605457234</v>
      </c>
      <c r="K1462" s="1">
        <f t="shared" si="891"/>
        <v>0.17139339939477094</v>
      </c>
    </row>
    <row r="1463" spans="2:11" x14ac:dyDescent="0.35">
      <c r="B1463" s="5" t="str">
        <f t="shared" si="888"/>
        <v>SPS4</v>
      </c>
      <c r="C1463" s="5" t="str">
        <f t="shared" si="885"/>
        <v>CH</v>
      </c>
      <c r="D1463" t="s">
        <v>1455</v>
      </c>
      <c r="E1463" t="s">
        <v>1230</v>
      </c>
      <c r="F1463" s="1" t="str">
        <f>IFERROR(F1439/F1405,"-")</f>
        <v>-</v>
      </c>
      <c r="G1463" s="1" t="str">
        <f t="shared" ref="G1463:K1463" si="892">IFERROR(G1439/G1405,"-")</f>
        <v>-</v>
      </c>
      <c r="H1463" s="1" t="str">
        <f t="shared" si="892"/>
        <v>-</v>
      </c>
      <c r="I1463" s="1">
        <f t="shared" si="892"/>
        <v>0.23440176174444105</v>
      </c>
      <c r="J1463" s="1" t="str">
        <f t="shared" si="892"/>
        <v>-</v>
      </c>
      <c r="K1463" s="1" t="str">
        <f t="shared" si="892"/>
        <v>-</v>
      </c>
    </row>
    <row r="1464" spans="2:11" x14ac:dyDescent="0.35">
      <c r="B1464" s="5" t="str">
        <f t="shared" si="888"/>
        <v>SPS4</v>
      </c>
      <c r="C1464" s="5" t="str">
        <f t="shared" si="885"/>
        <v>CH</v>
      </c>
      <c r="D1464" t="s">
        <v>1456</v>
      </c>
      <c r="E1464" t="s">
        <v>1230</v>
      </c>
      <c r="F1464" s="1" t="str">
        <f t="shared" ref="F1464:K1464" si="893">IFERROR(F1440/F1406,"-")</f>
        <v>-</v>
      </c>
      <c r="G1464" s="1" t="str">
        <f t="shared" si="893"/>
        <v>-</v>
      </c>
      <c r="H1464" s="1" t="str">
        <f t="shared" si="893"/>
        <v>-</v>
      </c>
      <c r="I1464" s="1">
        <f t="shared" si="893"/>
        <v>0.1691015145104959</v>
      </c>
      <c r="J1464" s="1" t="str">
        <f t="shared" si="893"/>
        <v>-</v>
      </c>
      <c r="K1464" s="1" t="str">
        <f t="shared" si="893"/>
        <v>-</v>
      </c>
    </row>
    <row r="1465" spans="2:11" x14ac:dyDescent="0.35">
      <c r="B1465" s="5" t="str">
        <f t="shared" si="888"/>
        <v>SPS4</v>
      </c>
      <c r="C1465" s="5" t="str">
        <f t="shared" si="885"/>
        <v>CH</v>
      </c>
      <c r="D1465" t="s">
        <v>1457</v>
      </c>
      <c r="E1465" t="s">
        <v>1230</v>
      </c>
      <c r="F1465" s="1" t="str">
        <f t="shared" ref="F1465:K1465" si="894">IFERROR(F1441/F1407,"-")</f>
        <v>-</v>
      </c>
      <c r="G1465" s="1" t="str">
        <f t="shared" si="894"/>
        <v>-</v>
      </c>
      <c r="H1465" s="1" t="str">
        <f t="shared" si="894"/>
        <v>-</v>
      </c>
      <c r="I1465" s="1">
        <f t="shared" si="894"/>
        <v>0.11310839137372301</v>
      </c>
      <c r="J1465" s="1" t="str">
        <f t="shared" si="894"/>
        <v>-</v>
      </c>
      <c r="K1465" s="1" t="str">
        <f t="shared" si="894"/>
        <v>-</v>
      </c>
    </row>
    <row r="1466" spans="2:11" x14ac:dyDescent="0.35">
      <c r="B1466" s="5" t="str">
        <f t="shared" si="888"/>
        <v>SPS4</v>
      </c>
      <c r="C1466" s="5" t="str">
        <f t="shared" si="885"/>
        <v>CH</v>
      </c>
      <c r="D1466" t="s">
        <v>1458</v>
      </c>
      <c r="E1466" t="s">
        <v>1230</v>
      </c>
      <c r="F1466" s="1" t="str">
        <f t="shared" ref="F1466:K1466" si="895">IFERROR(F1442/F1408,"-")</f>
        <v>-</v>
      </c>
      <c r="G1466" s="1" t="str">
        <f t="shared" si="895"/>
        <v>-</v>
      </c>
      <c r="H1466" s="1" t="str">
        <f t="shared" si="895"/>
        <v>-</v>
      </c>
      <c r="I1466" s="1" t="str">
        <f t="shared" si="895"/>
        <v>-</v>
      </c>
      <c r="J1466" s="1" t="str">
        <f t="shared" si="895"/>
        <v>-</v>
      </c>
      <c r="K1466" s="1" t="str">
        <f t="shared" si="895"/>
        <v>-</v>
      </c>
    </row>
    <row r="1467" spans="2:11" x14ac:dyDescent="0.35">
      <c r="B1467" s="5" t="str">
        <f t="shared" si="888"/>
        <v>SPS4</v>
      </c>
      <c r="C1467" s="5" t="str">
        <f t="shared" si="885"/>
        <v>CH</v>
      </c>
      <c r="D1467" t="s">
        <v>1459</v>
      </c>
      <c r="E1467" t="s">
        <v>1230</v>
      </c>
      <c r="F1467" s="1" t="str">
        <f>IFERROR(F1443/F1414,"-")</f>
        <v>-</v>
      </c>
      <c r="G1467" s="1">
        <f t="shared" ref="G1467:K1467" si="896">IFERROR(G1443/G1414,"-")</f>
        <v>0.16251369968883858</v>
      </c>
      <c r="H1467" s="1">
        <f t="shared" si="896"/>
        <v>0.16452915599117504</v>
      </c>
      <c r="I1467" s="1">
        <f t="shared" si="896"/>
        <v>0.17482292612826383</v>
      </c>
      <c r="J1467" s="1">
        <f t="shared" si="896"/>
        <v>0.19611544614262377</v>
      </c>
      <c r="K1467" s="1">
        <f t="shared" si="896"/>
        <v>0.2106806924361046</v>
      </c>
    </row>
    <row r="1468" spans="2:11" x14ac:dyDescent="0.35">
      <c r="B1468" s="5" t="str">
        <f t="shared" si="888"/>
        <v>SPS4</v>
      </c>
      <c r="C1468" s="5" t="str">
        <f t="shared" si="885"/>
        <v>CH</v>
      </c>
      <c r="D1468" t="s">
        <v>1460</v>
      </c>
      <c r="E1468" t="s">
        <v>1230</v>
      </c>
      <c r="F1468" s="1" t="str">
        <f t="shared" ref="F1468:K1468" si="897">IFERROR(F1444/F1415,"-")</f>
        <v>-</v>
      </c>
      <c r="G1468" s="1">
        <f t="shared" si="897"/>
        <v>0.11649393435744142</v>
      </c>
      <c r="H1468" s="1">
        <f t="shared" si="897"/>
        <v>0.12230814720818897</v>
      </c>
      <c r="I1468" s="1">
        <f t="shared" si="897"/>
        <v>0.13042839440635604</v>
      </c>
      <c r="J1468" s="1">
        <f t="shared" si="897"/>
        <v>0.14382354293240698</v>
      </c>
      <c r="K1468" s="1">
        <f t="shared" si="897"/>
        <v>0.15477854393475599</v>
      </c>
    </row>
    <row r="1469" spans="2:11" x14ac:dyDescent="0.35">
      <c r="B1469" s="5" t="str">
        <f t="shared" si="888"/>
        <v>SPS4</v>
      </c>
      <c r="C1469" s="5" t="str">
        <f t="shared" si="885"/>
        <v>CH</v>
      </c>
      <c r="D1469" t="s">
        <v>1461</v>
      </c>
      <c r="E1469" t="s">
        <v>1230</v>
      </c>
      <c r="F1469" s="1" t="str">
        <f t="shared" ref="F1469:K1469" si="898">IFERROR(F1445/F1416,"-")</f>
        <v>-</v>
      </c>
      <c r="G1469" s="1">
        <f t="shared" si="898"/>
        <v>7.8235828164578886E-2</v>
      </c>
      <c r="H1469" s="1">
        <f t="shared" si="898"/>
        <v>8.1914830203212177E-2</v>
      </c>
      <c r="I1469" s="1">
        <f t="shared" si="898"/>
        <v>8.8659873973008591E-2</v>
      </c>
      <c r="J1469" s="1">
        <f t="shared" si="898"/>
        <v>9.7408569455268601E-2</v>
      </c>
      <c r="K1469" s="1">
        <f t="shared" si="898"/>
        <v>0.10590647069022077</v>
      </c>
    </row>
    <row r="1470" spans="2:11" x14ac:dyDescent="0.35">
      <c r="B1470" s="5" t="str">
        <f t="shared" si="888"/>
        <v>SPS4</v>
      </c>
      <c r="C1470" s="5" t="str">
        <f t="shared" si="885"/>
        <v>CH</v>
      </c>
      <c r="D1470" t="s">
        <v>1462</v>
      </c>
      <c r="E1470" t="s">
        <v>1230</v>
      </c>
      <c r="F1470" s="1" t="str">
        <f t="shared" ref="F1470:K1470" si="899">IFERROR(F1446/F1417,"-")</f>
        <v>-</v>
      </c>
      <c r="G1470" s="1">
        <f t="shared" si="899"/>
        <v>5.2751439830497716E-2</v>
      </c>
      <c r="H1470" s="1">
        <f t="shared" si="899"/>
        <v>5.3984749625058663E-2</v>
      </c>
      <c r="I1470" s="1">
        <f t="shared" si="899"/>
        <v>5.759970160290763E-2</v>
      </c>
      <c r="J1470" s="1">
        <f t="shared" si="899"/>
        <v>6.5239929156825319E-2</v>
      </c>
      <c r="K1470" s="1">
        <f t="shared" si="899"/>
        <v>7.3435402919044795E-2</v>
      </c>
    </row>
    <row r="1471" spans="2:11" x14ac:dyDescent="0.35">
      <c r="B1471" s="5" t="str">
        <f t="shared" si="888"/>
        <v>SPS4</v>
      </c>
      <c r="C1471" s="5" t="str">
        <f t="shared" si="885"/>
        <v>CH</v>
      </c>
      <c r="D1471" t="s">
        <v>2118</v>
      </c>
      <c r="E1471" t="s">
        <v>1230</v>
      </c>
      <c r="F1471" s="1">
        <f>IFERROR(F1447/F1418,"-")</f>
        <v>9.9502495941956628</v>
      </c>
      <c r="G1471" s="1">
        <f t="shared" ref="G1471:K1471" si="900">IFERROR(G1447/G1418,"-")</f>
        <v>7.9797266512003127</v>
      </c>
      <c r="H1471" s="1">
        <f t="shared" si="900"/>
        <v>5.0239422367072901</v>
      </c>
      <c r="I1471" s="1" t="str">
        <f t="shared" si="900"/>
        <v>-</v>
      </c>
      <c r="J1471" s="1" t="str">
        <f t="shared" si="900"/>
        <v>-</v>
      </c>
      <c r="K1471" s="1" t="str">
        <f t="shared" si="900"/>
        <v>-</v>
      </c>
    </row>
    <row r="1472" spans="2:11" x14ac:dyDescent="0.35">
      <c r="B1472" s="5" t="str">
        <f t="shared" si="888"/>
        <v>SPS4</v>
      </c>
      <c r="C1472" s="5" t="str">
        <f t="shared" si="885"/>
        <v>CH</v>
      </c>
      <c r="D1472" t="s">
        <v>1463</v>
      </c>
      <c r="E1472" t="s">
        <v>1230</v>
      </c>
      <c r="F1472" s="1">
        <f t="shared" ref="F1472:K1472" si="901">IFERROR(F1448/F1419,"-")</f>
        <v>0.12391916748597454</v>
      </c>
      <c r="G1472" s="1">
        <f t="shared" si="901"/>
        <v>0.12669544448567871</v>
      </c>
      <c r="H1472" s="1">
        <f t="shared" si="901"/>
        <v>0.12824302347462221</v>
      </c>
      <c r="I1472" s="1" t="str">
        <f t="shared" si="901"/>
        <v>-</v>
      </c>
      <c r="J1472" s="1" t="str">
        <f t="shared" si="901"/>
        <v>-</v>
      </c>
      <c r="K1472" s="1" t="str">
        <f t="shared" si="901"/>
        <v>-</v>
      </c>
    </row>
    <row r="1473" spans="2:11" x14ac:dyDescent="0.35">
      <c r="B1473" s="5" t="str">
        <f t="shared" si="888"/>
        <v>SPS4</v>
      </c>
      <c r="C1473" s="5" t="str">
        <f t="shared" si="885"/>
        <v>CH</v>
      </c>
      <c r="D1473" t="s">
        <v>1464</v>
      </c>
      <c r="E1473" t="s">
        <v>1230</v>
      </c>
      <c r="F1473" s="1">
        <f t="shared" ref="F1473:K1473" si="902">IFERROR(F1449/F1420,"-")</f>
        <v>8.7465847585616707E-2</v>
      </c>
      <c r="G1473" s="1">
        <f t="shared" si="902"/>
        <v>8.7810961050451858E-2</v>
      </c>
      <c r="H1473" s="1">
        <f t="shared" si="902"/>
        <v>8.7797908126350091E-2</v>
      </c>
      <c r="I1473" s="1" t="str">
        <f t="shared" si="902"/>
        <v>-</v>
      </c>
      <c r="J1473" s="1" t="str">
        <f t="shared" si="902"/>
        <v>-</v>
      </c>
      <c r="K1473" s="1" t="str">
        <f t="shared" si="902"/>
        <v>-</v>
      </c>
    </row>
    <row r="1474" spans="2:11" x14ac:dyDescent="0.35">
      <c r="B1474" s="5" t="str">
        <f t="shared" si="888"/>
        <v>SPS4</v>
      </c>
      <c r="C1474" s="5" t="str">
        <f t="shared" si="885"/>
        <v>CH</v>
      </c>
      <c r="D1474" t="s">
        <v>1465</v>
      </c>
      <c r="E1474" t="s">
        <v>1230</v>
      </c>
      <c r="F1474" s="1">
        <f t="shared" ref="F1474:K1474" si="903">IFERROR(F1450/F1421,"-")</f>
        <v>5.7949527986548593E-2</v>
      </c>
      <c r="G1474" s="1">
        <f t="shared" si="903"/>
        <v>5.8177080503021429E-2</v>
      </c>
      <c r="H1474" s="1">
        <f t="shared" si="903"/>
        <v>5.8150435153884572E-2</v>
      </c>
      <c r="I1474" s="1" t="str">
        <f t="shared" si="903"/>
        <v>-</v>
      </c>
      <c r="J1474" s="1" t="str">
        <f t="shared" si="903"/>
        <v>-</v>
      </c>
      <c r="K1474" s="1" t="str">
        <f t="shared" si="903"/>
        <v>-</v>
      </c>
    </row>
    <row r="1475" spans="2:11" x14ac:dyDescent="0.35">
      <c r="B1475" s="5" t="str">
        <f t="shared" si="888"/>
        <v>SPS4</v>
      </c>
      <c r="C1475" s="5" t="str">
        <f t="shared" si="885"/>
        <v>CH</v>
      </c>
      <c r="D1475" t="s">
        <v>1466</v>
      </c>
      <c r="E1475" t="s">
        <v>1230</v>
      </c>
      <c r="F1475" s="1">
        <f t="shared" ref="F1475:K1475" si="904">IFERROR(F1451/F1422,"-")</f>
        <v>3.8646481387947483E-2</v>
      </c>
      <c r="G1475" s="1">
        <f t="shared" si="904"/>
        <v>3.8983235854655837E-2</v>
      </c>
      <c r="H1475" s="1">
        <f t="shared" si="904"/>
        <v>3.9163296630138462E-2</v>
      </c>
      <c r="I1475" s="1" t="str">
        <f t="shared" si="904"/>
        <v>-</v>
      </c>
      <c r="J1475" s="1" t="str">
        <f t="shared" si="904"/>
        <v>-</v>
      </c>
      <c r="K1475" s="1" t="str">
        <f t="shared" si="904"/>
        <v>-</v>
      </c>
    </row>
    <row r="1476" spans="2:11" x14ac:dyDescent="0.35">
      <c r="B1476" s="5" t="str">
        <f t="shared" si="888"/>
        <v>SPS4</v>
      </c>
      <c r="C1476" s="5" t="str">
        <f t="shared" si="885"/>
        <v>CH</v>
      </c>
      <c r="D1476" t="s">
        <v>2121</v>
      </c>
      <c r="E1476" t="s">
        <v>1230</v>
      </c>
      <c r="F1476" s="1">
        <f>IFERROR(F1452/F1428,"-")</f>
        <v>9.9502495941956699</v>
      </c>
      <c r="G1476" s="1">
        <f t="shared" ref="G1476:K1476" si="905">IFERROR(G1452/G1428,"-")</f>
        <v>7.9767976048237328</v>
      </c>
      <c r="H1476" s="1">
        <f t="shared" si="905"/>
        <v>5.0166196207658738</v>
      </c>
      <c r="I1476" s="1" t="str">
        <f t="shared" si="905"/>
        <v>-</v>
      </c>
      <c r="J1476" s="1" t="str">
        <f t="shared" si="905"/>
        <v>-</v>
      </c>
      <c r="K1476" s="1" t="str">
        <f t="shared" si="905"/>
        <v>-</v>
      </c>
    </row>
    <row r="1477" spans="2:11" x14ac:dyDescent="0.35">
      <c r="B1477" s="5" t="str">
        <f t="shared" si="888"/>
        <v>SPS4</v>
      </c>
      <c r="C1477" s="5" t="str">
        <f t="shared" si="885"/>
        <v>CH</v>
      </c>
      <c r="D1477" t="s">
        <v>1467</v>
      </c>
      <c r="E1477" t="s">
        <v>1230</v>
      </c>
      <c r="F1477" s="1" t="str">
        <f t="shared" ref="F1477:K1477" si="906">IFERROR(F1453/F1429,"-")</f>
        <v>-</v>
      </c>
      <c r="G1477" s="1">
        <f t="shared" si="906"/>
        <v>0.12023751974847215</v>
      </c>
      <c r="H1477" s="1">
        <f t="shared" si="906"/>
        <v>0.12542256804279575</v>
      </c>
      <c r="I1477" s="1" t="str">
        <f t="shared" si="906"/>
        <v>-</v>
      </c>
      <c r="J1477" s="1" t="str">
        <f t="shared" si="906"/>
        <v>-</v>
      </c>
      <c r="K1477" s="1" t="str">
        <f t="shared" si="906"/>
        <v>-</v>
      </c>
    </row>
    <row r="1478" spans="2:11" x14ac:dyDescent="0.35">
      <c r="B1478" s="5" t="str">
        <f t="shared" si="888"/>
        <v>SPS4</v>
      </c>
      <c r="C1478" s="5" t="str">
        <f t="shared" si="885"/>
        <v>CH</v>
      </c>
      <c r="D1478" t="s">
        <v>1468</v>
      </c>
      <c r="E1478" t="s">
        <v>1230</v>
      </c>
      <c r="F1478" s="1" t="str">
        <f t="shared" ref="F1478:K1478" si="907">IFERROR(F1454/F1430,"-")</f>
        <v>-</v>
      </c>
      <c r="G1478" s="1">
        <f t="shared" si="907"/>
        <v>8.4998076233608735E-2</v>
      </c>
      <c r="H1478" s="1">
        <f t="shared" si="907"/>
        <v>8.8462389403710859E-2</v>
      </c>
      <c r="I1478" s="1" t="str">
        <f t="shared" si="907"/>
        <v>-</v>
      </c>
      <c r="J1478" s="1" t="str">
        <f t="shared" si="907"/>
        <v>-</v>
      </c>
      <c r="K1478" s="1" t="str">
        <f t="shared" si="907"/>
        <v>-</v>
      </c>
    </row>
    <row r="1479" spans="2:11" x14ac:dyDescent="0.35">
      <c r="B1479" s="5" t="str">
        <f t="shared" si="888"/>
        <v>SPS4</v>
      </c>
      <c r="C1479" s="5" t="str">
        <f t="shared" si="885"/>
        <v>CH</v>
      </c>
      <c r="D1479" t="s">
        <v>1469</v>
      </c>
      <c r="E1479" t="s">
        <v>1230</v>
      </c>
      <c r="F1479" s="1" t="str">
        <f t="shared" ref="F1479:K1479" si="908">IFERROR(F1455/F1431,"-")</f>
        <v>-</v>
      </c>
      <c r="G1479" s="1">
        <f t="shared" si="908"/>
        <v>5.642213346123711E-2</v>
      </c>
      <c r="H1479" s="1">
        <f t="shared" si="908"/>
        <v>5.8553415083434993E-2</v>
      </c>
      <c r="I1479" s="1" t="str">
        <f t="shared" si="908"/>
        <v>-</v>
      </c>
      <c r="J1479" s="1" t="str">
        <f t="shared" si="908"/>
        <v>-</v>
      </c>
      <c r="K1479" s="1" t="str">
        <f t="shared" si="908"/>
        <v>-</v>
      </c>
    </row>
    <row r="1480" spans="2:11" x14ac:dyDescent="0.35">
      <c r="B1480" s="5" t="str">
        <f t="shared" si="888"/>
        <v>SPS4</v>
      </c>
      <c r="C1480" s="5" t="str">
        <f t="shared" si="885"/>
        <v>CH</v>
      </c>
      <c r="D1480" t="s">
        <v>1470</v>
      </c>
      <c r="E1480" t="s">
        <v>1230</v>
      </c>
      <c r="F1480" s="1" t="str">
        <f t="shared" ref="F1480:K1480" si="909">IFERROR(F1456/F1432,"-")</f>
        <v>-</v>
      </c>
      <c r="G1480" s="1" t="str">
        <f t="shared" si="909"/>
        <v>-</v>
      </c>
      <c r="H1480" s="1">
        <f t="shared" si="909"/>
        <v>3.9413984934449163E-2</v>
      </c>
      <c r="I1480" s="1" t="str">
        <f t="shared" si="909"/>
        <v>-</v>
      </c>
      <c r="J1480" s="1" t="str">
        <f t="shared" si="909"/>
        <v>-</v>
      </c>
      <c r="K1480" s="1" t="str">
        <f t="shared" si="909"/>
        <v>-</v>
      </c>
    </row>
    <row r="1481" spans="2:11" x14ac:dyDescent="0.35">
      <c r="B1481" s="9" t="str">
        <f t="shared" si="888"/>
        <v>SPS4</v>
      </c>
      <c r="C1481" s="9" t="str">
        <f>C1480</f>
        <v>CH</v>
      </c>
      <c r="D1481" s="2" t="s">
        <v>1474</v>
      </c>
      <c r="E1481" s="2" t="s">
        <v>8</v>
      </c>
      <c r="F1481" s="3">
        <f>F1482</f>
        <v>0.2816422643485601</v>
      </c>
      <c r="G1481" s="3">
        <f t="shared" ref="G1481:K1481" si="910">G1482</f>
        <v>0.30668648626079364</v>
      </c>
      <c r="H1481" s="3">
        <f t="shared" si="910"/>
        <v>0.35149986092475399</v>
      </c>
      <c r="I1481" s="3">
        <f t="shared" si="910"/>
        <v>0.45078090930791764</v>
      </c>
      <c r="J1481" s="3">
        <f t="shared" si="910"/>
        <v>0.47237229295618205</v>
      </c>
      <c r="K1481" s="3">
        <f t="shared" si="910"/>
        <v>0.48809144422268164</v>
      </c>
    </row>
    <row r="1482" spans="2:11" x14ac:dyDescent="0.35">
      <c r="B1482" s="5" t="str">
        <f t="shared" si="888"/>
        <v>SPS4</v>
      </c>
      <c r="C1482" s="5" t="str">
        <f>C1481</f>
        <v>CH</v>
      </c>
      <c r="D1482" t="s">
        <v>1475</v>
      </c>
      <c r="E1482" t="s">
        <v>8</v>
      </c>
      <c r="F1482" s="1">
        <f>F1483</f>
        <v>0.2816422643485601</v>
      </c>
      <c r="G1482" s="1">
        <f t="shared" ref="G1482:K1482" si="911">G1483</f>
        <v>0.30668648626079364</v>
      </c>
      <c r="H1482" s="1">
        <f t="shared" si="911"/>
        <v>0.35149986092475399</v>
      </c>
      <c r="I1482" s="1">
        <f t="shared" si="911"/>
        <v>0.45078090930791764</v>
      </c>
      <c r="J1482" s="1">
        <f t="shared" si="911"/>
        <v>0.47237229295618205</v>
      </c>
      <c r="K1482" s="1">
        <f t="shared" si="911"/>
        <v>0.48809144422268164</v>
      </c>
    </row>
    <row r="1483" spans="2:11" x14ac:dyDescent="0.35">
      <c r="B1483" s="5" t="str">
        <f t="shared" si="888"/>
        <v>SPS4</v>
      </c>
      <c r="C1483" s="5" t="str">
        <f t="shared" ref="C1483" si="912">C1482</f>
        <v>CH</v>
      </c>
      <c r="D1483" t="s">
        <v>1476</v>
      </c>
      <c r="E1483" t="s">
        <v>8</v>
      </c>
      <c r="F1483" s="1" cm="1">
        <f t="array" ref="F1483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3" s="1" cm="1">
        <f t="array" ref="G1483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3" s="1" cm="1">
        <f t="array" ref="H1483">SUMPRODUCT(("T_TRLY_ELC"=[1]OUT_TransportEnergyCons!$A$3:$A$1000)*1,("Var_Fin"=[1]OUT_TransportEnergyCons!$B$3:$B$1000)*1,ISNUMBER(SEARCH("ELC",[1]OUT_TransportEnergyCons!$C$3:$C$1000))*1,[1]OUT_TransportEnergyCons!F$3:F$1000)</f>
        <v>0.35149986092475399</v>
      </c>
      <c r="I1483" s="1" cm="1">
        <f t="array" ref="I1483">SUMPRODUCT(("T_TRLY_ELC"=[1]OUT_TransportEnergyCons!$A$3:$A$1000)*1,("Var_Fin"=[1]OUT_TransportEnergyCons!$B$3:$B$1000)*1,ISNUMBER(SEARCH("ELC",[1]OUT_TransportEnergyCons!$C$3:$C$1000))*1,[1]OUT_TransportEnergyCons!G$3:G$1000)</f>
        <v>0.45078090930791764</v>
      </c>
      <c r="J1483" s="1" cm="1">
        <f t="array" ref="J1483">SUMPRODUCT(("T_TRLY_ELC"=[1]OUT_TransportEnergyCons!$A$3:$A$1000)*1,("Var_Fin"=[1]OUT_TransportEnergyCons!$B$3:$B$1000)*1,ISNUMBER(SEARCH("ELC",[1]OUT_TransportEnergyCons!$C$3:$C$1000))*1,[1]OUT_TransportEnergyCons!H$3:H$1000)</f>
        <v>0.47237229295618205</v>
      </c>
      <c r="K1483" s="1" cm="1">
        <f t="array" ref="K1483">SUMPRODUCT(("T_TRLY_ELC"=[1]OUT_TransportEnergyCons!$A$3:$A$1000)*1,("Var_Fin"=[1]OUT_TransportEnergyCons!$B$3:$B$1000)*1,ISNUMBER(SEARCH("ELC",[1]OUT_TransportEnergyCons!$C$3:$C$1000))*1,[1]OUT_TransportEnergyCons!I$3:I$1000)</f>
        <v>0.48809144422268164</v>
      </c>
    </row>
    <row r="1484" spans="2:11" x14ac:dyDescent="0.35">
      <c r="B1484" s="9" t="str">
        <f t="shared" si="888"/>
        <v>SPS4</v>
      </c>
      <c r="C1484" s="9" t="str">
        <f t="shared" ref="C1484:C1487" si="913">C1483</f>
        <v>CH</v>
      </c>
      <c r="D1484" s="2" t="s">
        <v>1479</v>
      </c>
      <c r="E1484" s="2" t="s">
        <v>1132</v>
      </c>
      <c r="F1484" s="3">
        <f>F1485</f>
        <v>2.7120999999999972E-2</v>
      </c>
      <c r="G1484" s="3">
        <f t="shared" ref="G1484:K1484" si="914">G1485</f>
        <v>2.7782165745480814E-2</v>
      </c>
      <c r="H1484" s="3">
        <f t="shared" si="914"/>
        <v>2.8832315767707572E-2</v>
      </c>
      <c r="I1484" s="3">
        <f t="shared" si="914"/>
        <v>3.0543631535415186E-2</v>
      </c>
      <c r="J1484" s="3">
        <f t="shared" si="914"/>
        <v>3.2006602244411902E-2</v>
      </c>
      <c r="K1484" s="3">
        <f t="shared" si="914"/>
        <v>3.3071687199031086E-2</v>
      </c>
    </row>
    <row r="1485" spans="2:11" x14ac:dyDescent="0.35">
      <c r="B1485" s="5" t="str">
        <f t="shared" si="888"/>
        <v>SPS4</v>
      </c>
      <c r="C1485" s="5" t="str">
        <f t="shared" si="913"/>
        <v>CH</v>
      </c>
      <c r="D1485" t="s">
        <v>1480</v>
      </c>
      <c r="E1485" t="s">
        <v>1132</v>
      </c>
      <c r="F1485" s="1" cm="1">
        <f t="array" ref="F1485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5" s="1" cm="1">
        <f t="array" ref="G1485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5" s="1" cm="1">
        <f t="array" ref="H1485">SUMPRODUCT(("T_TRLY_ELC"=[1]OUT_TransportEnergyCons!$A$3:$A$1000)*1,("Var_Fout"=[1]OUT_TransportEnergyCons!$B$3:$B$1000)*1,ISNUMBER(SEARCH("tptrly",[1]OUT_TransportEnergyCons!$C$3:$C$1000))*1,[1]OUT_TransportEnergyCons!F$3:F$1000)</f>
        <v>2.8832315767707572E-2</v>
      </c>
      <c r="I1485" s="1" cm="1">
        <f t="array" ref="I1485">SUMPRODUCT(("T_TRLY_ELC"=[1]OUT_TransportEnergyCons!$A$3:$A$1000)*1,("Var_Fout"=[1]OUT_TransportEnergyCons!$B$3:$B$1000)*1,ISNUMBER(SEARCH("tptrly",[1]OUT_TransportEnergyCons!$C$3:$C$1000))*1,[1]OUT_TransportEnergyCons!G$3:G$1000)</f>
        <v>3.0543631535415186E-2</v>
      </c>
      <c r="J1485" s="1" cm="1">
        <f t="array" ref="J1485">SUMPRODUCT(("T_TRLY_ELC"=[1]OUT_TransportEnergyCons!$A$3:$A$1000)*1,("Var_Fout"=[1]OUT_TransportEnergyCons!$B$3:$B$1000)*1,ISNUMBER(SEARCH("tptrly",[1]OUT_TransportEnergyCons!$C$3:$C$1000))*1,[1]OUT_TransportEnergyCons!H$3:H$1000)</f>
        <v>3.2006602244411902E-2</v>
      </c>
      <c r="K1485" s="1" cm="1">
        <f t="array" ref="K1485">SUMPRODUCT(("T_TRLY_ELC"=[1]OUT_TransportEnergyCons!$A$3:$A$1000)*1,("Var_Fout"=[1]OUT_TransportEnergyCons!$B$3:$B$1000)*1,ISNUMBER(SEARCH("tptrly",[1]OUT_TransportEnergyCons!$C$3:$C$1000))*1,[1]OUT_TransportEnergyCons!I$3:I$1000)</f>
        <v>3.3071687199031086E-2</v>
      </c>
    </row>
    <row r="1486" spans="2:11" x14ac:dyDescent="0.35">
      <c r="B1486" s="9" t="str">
        <f t="shared" si="888"/>
        <v>SPS4</v>
      </c>
      <c r="C1486" s="9" t="str">
        <f t="shared" si="913"/>
        <v>CH</v>
      </c>
      <c r="D1486" s="2" t="s">
        <v>1481</v>
      </c>
      <c r="E1486" s="2" t="s">
        <v>1230</v>
      </c>
      <c r="F1486" s="1" t="s">
        <v>292</v>
      </c>
      <c r="G1486" s="1" t="s">
        <v>292</v>
      </c>
      <c r="H1486" s="1" t="s">
        <v>292</v>
      </c>
      <c r="I1486" s="1" t="s">
        <v>292</v>
      </c>
      <c r="J1486" s="1" t="s">
        <v>292</v>
      </c>
      <c r="K1486" s="1" t="s">
        <v>292</v>
      </c>
    </row>
    <row r="1487" spans="2:11" x14ac:dyDescent="0.35">
      <c r="B1487" s="5" t="str">
        <f t="shared" si="888"/>
        <v>SPS4</v>
      </c>
      <c r="C1487" s="5" t="str">
        <f t="shared" si="913"/>
        <v>CH</v>
      </c>
      <c r="D1487" t="s">
        <v>1482</v>
      </c>
      <c r="E1487" t="str">
        <f>E1486</f>
        <v>km/MJ</v>
      </c>
      <c r="F1487" s="1">
        <f>F1485/F1483</f>
        <v>9.6295916604459117E-2</v>
      </c>
      <c r="G1487" s="1">
        <f t="shared" ref="G1487:K1487" si="915">G1485/G1483</f>
        <v>9.0588164102724744E-2</v>
      </c>
      <c r="H1487" s="1">
        <f t="shared" si="915"/>
        <v>8.2026535350122776E-2</v>
      </c>
      <c r="I1487" s="1">
        <f t="shared" si="915"/>
        <v>6.7757154095786171E-2</v>
      </c>
      <c r="J1487" s="1">
        <f t="shared" si="915"/>
        <v>6.7757154095786226E-2</v>
      </c>
      <c r="K1487" s="1">
        <f t="shared" si="915"/>
        <v>6.7757154095786226E-2</v>
      </c>
    </row>
    <row r="1488" spans="2:11" x14ac:dyDescent="0.35">
      <c r="B1488" s="9" t="str">
        <f t="shared" si="888"/>
        <v>SPS4</v>
      </c>
      <c r="C1488" s="9" t="str">
        <f>C1483</f>
        <v>CH</v>
      </c>
      <c r="D1488" s="2" t="s">
        <v>1473</v>
      </c>
      <c r="E1488" s="2" t="s">
        <v>8</v>
      </c>
      <c r="F1488" s="3">
        <f>F1489</f>
        <v>0.58772895164057959</v>
      </c>
      <c r="G1488" s="3">
        <f t="shared" ref="G1488:G1489" si="916">G1489</f>
        <v>0.61504030570008339</v>
      </c>
      <c r="H1488" s="3">
        <f t="shared" ref="H1488:H1489" si="917">H1489</f>
        <v>0.65830556959273911</v>
      </c>
      <c r="I1488" s="3">
        <f t="shared" ref="I1488:I1489" si="918">I1489</f>
        <v>0.7379148962536346</v>
      </c>
      <c r="J1488" s="3">
        <f t="shared" ref="J1488:J1489" si="919">J1489</f>
        <v>0.77325934733858914</v>
      </c>
      <c r="K1488" s="3">
        <f t="shared" ref="K1488:K1489" si="920">K1489</f>
        <v>0.79899112903654423</v>
      </c>
    </row>
    <row r="1489" spans="2:11" x14ac:dyDescent="0.35">
      <c r="B1489" s="5" t="str">
        <f t="shared" si="888"/>
        <v>SPS4</v>
      </c>
      <c r="C1489" s="5" t="str">
        <f>C1488</f>
        <v>CH</v>
      </c>
      <c r="D1489" t="s">
        <v>1477</v>
      </c>
      <c r="E1489" t="s">
        <v>8</v>
      </c>
      <c r="F1489" s="1">
        <f>F1490</f>
        <v>0.58772895164057959</v>
      </c>
      <c r="G1489" s="1">
        <f t="shared" si="916"/>
        <v>0.61504030570008339</v>
      </c>
      <c r="H1489" s="1">
        <f t="shared" si="917"/>
        <v>0.65830556959273911</v>
      </c>
      <c r="I1489" s="1">
        <f t="shared" si="918"/>
        <v>0.7379148962536346</v>
      </c>
      <c r="J1489" s="1">
        <f t="shared" si="919"/>
        <v>0.77325934733858914</v>
      </c>
      <c r="K1489" s="1">
        <f t="shared" si="920"/>
        <v>0.79899112903654423</v>
      </c>
    </row>
    <row r="1490" spans="2:11" x14ac:dyDescent="0.35">
      <c r="B1490" s="5" t="str">
        <f t="shared" si="888"/>
        <v>SPS4</v>
      </c>
      <c r="C1490" s="5" t="str">
        <f t="shared" ref="C1490" si="921">C1489</f>
        <v>CH</v>
      </c>
      <c r="D1490" t="s">
        <v>1478</v>
      </c>
      <c r="E1490" t="s">
        <v>8</v>
      </c>
      <c r="F1490" s="1" cm="1">
        <f t="array" ref="F1490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0" s="1" cm="1">
        <f t="array" ref="G1490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0" s="1" cm="1">
        <f t="array" ref="H1490">SUMPRODUCT(("T_TRM_ELC"=[1]OUT_TransportEnergyCons!$A$3:$A$1000)*1,("Var_Fin"=[1]OUT_TransportEnergyCons!$B$3:$B$1000)*1,ISNUMBER(SEARCH("ELC",[1]OUT_TransportEnergyCons!$C$3:$C$1000))*1,[1]OUT_TransportEnergyCons!F$3:F$1000)</f>
        <v>0.65830556959273911</v>
      </c>
      <c r="I1490" s="1" cm="1">
        <f t="array" ref="I1490">SUMPRODUCT(("T_TRM_ELC"=[1]OUT_TransportEnergyCons!$A$3:$A$1000)*1,("Var_Fin"=[1]OUT_TransportEnergyCons!$B$3:$B$1000)*1,ISNUMBER(SEARCH("ELC",[1]OUT_TransportEnergyCons!$C$3:$C$1000))*1,[1]OUT_TransportEnergyCons!G$3:G$1000)</f>
        <v>0.7379148962536346</v>
      </c>
      <c r="J1490" s="1" cm="1">
        <f t="array" ref="J1490">SUMPRODUCT(("T_TRM_ELC"=[1]OUT_TransportEnergyCons!$A$3:$A$1000)*1,("Var_Fin"=[1]OUT_TransportEnergyCons!$B$3:$B$1000)*1,ISNUMBER(SEARCH("ELC",[1]OUT_TransportEnergyCons!$C$3:$C$1000))*1,[1]OUT_TransportEnergyCons!H$3:H$1000)</f>
        <v>0.77325934733858914</v>
      </c>
      <c r="K1490" s="1" cm="1">
        <f t="array" ref="K1490">SUMPRODUCT(("T_TRM_ELC"=[1]OUT_TransportEnergyCons!$A$3:$A$1000)*1,("Var_Fin"=[1]OUT_TransportEnergyCons!$B$3:$B$1000)*1,ISNUMBER(SEARCH("ELC",[1]OUT_TransportEnergyCons!$C$3:$C$1000))*1,[1]OUT_TransportEnergyCons!I$3:I$1000)</f>
        <v>0.79899112903654423</v>
      </c>
    </row>
    <row r="1491" spans="2:11" x14ac:dyDescent="0.35">
      <c r="B1491" s="9" t="str">
        <f t="shared" si="888"/>
        <v>SPS4</v>
      </c>
      <c r="C1491" s="9" t="str">
        <f t="shared" ref="C1491:C1495" si="922">C1490</f>
        <v>CH</v>
      </c>
      <c r="D1491" s="2" t="s">
        <v>1483</v>
      </c>
      <c r="E1491" s="2" t="s">
        <v>1132</v>
      </c>
      <c r="F1491" s="3">
        <f>F1492</f>
        <v>3.3477999999999994E-2</v>
      </c>
      <c r="G1491" s="3">
        <f t="shared" ref="G1491" si="923">G1492</f>
        <v>3.4238693943285006E-2</v>
      </c>
      <c r="H1491" s="3">
        <f t="shared" ref="H1491" si="924">H1492</f>
        <v>3.5370833501607003E-2</v>
      </c>
      <c r="I1491" s="3">
        <f t="shared" ref="I1491" si="925">I1492</f>
        <v>3.726366700321395E-2</v>
      </c>
      <c r="J1491" s="3">
        <f t="shared" ref="J1491" si="926">J1492</f>
        <v>3.9048512196511807E-2</v>
      </c>
      <c r="K1491" s="3">
        <f t="shared" ref="K1491" si="927">K1492</f>
        <v>4.0347931071859175E-2</v>
      </c>
    </row>
    <row r="1492" spans="2:11" x14ac:dyDescent="0.35">
      <c r="B1492" s="5" t="str">
        <f t="shared" si="888"/>
        <v>SPS4</v>
      </c>
      <c r="C1492" s="5" t="str">
        <f t="shared" si="922"/>
        <v>CH</v>
      </c>
      <c r="D1492" t="s">
        <v>1484</v>
      </c>
      <c r="E1492" t="s">
        <v>1132</v>
      </c>
      <c r="F1492" s="1" cm="1">
        <f t="array" ref="F1492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2" s="1" cm="1">
        <f t="array" ref="G1492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2" s="1" cm="1">
        <f t="array" ref="H1492">SUMPRODUCT(("T_TRM_ELC"=[1]OUT_TransportEnergyCons!$A$3:$A$1000)*1,("Var_Fout"=[1]OUT_TransportEnergyCons!$B$3:$B$1000)*1,ISNUMBER(SEARCH("tptrm",[1]OUT_TransportEnergyCons!$C$3:$C$1000))*1,[1]OUT_TransportEnergyCons!F$3:F$1000)</f>
        <v>3.5370833501607003E-2</v>
      </c>
      <c r="I1492" s="1" cm="1">
        <f t="array" ref="I1492">SUMPRODUCT(("T_TRM_ELC"=[1]OUT_TransportEnergyCons!$A$3:$A$1000)*1,("Var_Fout"=[1]OUT_TransportEnergyCons!$B$3:$B$1000)*1,ISNUMBER(SEARCH("tptrm",[1]OUT_TransportEnergyCons!$C$3:$C$1000))*1,[1]OUT_TransportEnergyCons!G$3:G$1000)</f>
        <v>3.726366700321395E-2</v>
      </c>
      <c r="J1492" s="1" cm="1">
        <f t="array" ref="J1492">SUMPRODUCT(("T_TRM_ELC"=[1]OUT_TransportEnergyCons!$A$3:$A$1000)*1,("Var_Fout"=[1]OUT_TransportEnergyCons!$B$3:$B$1000)*1,ISNUMBER(SEARCH("tptrm",[1]OUT_TransportEnergyCons!$C$3:$C$1000))*1,[1]OUT_TransportEnergyCons!H$3:H$1000)</f>
        <v>3.9048512196511807E-2</v>
      </c>
      <c r="K1492" s="1" cm="1">
        <f t="array" ref="K1492">SUMPRODUCT(("T_TRM_ELC"=[1]OUT_TransportEnergyCons!$A$3:$A$1000)*1,("Var_Fout"=[1]OUT_TransportEnergyCons!$B$3:$B$1000)*1,ISNUMBER(SEARCH("tptrm",[1]OUT_TransportEnergyCons!$C$3:$C$1000))*1,[1]OUT_TransportEnergyCons!I$3:I$1000)</f>
        <v>4.0347931071859175E-2</v>
      </c>
    </row>
    <row r="1493" spans="2:11" x14ac:dyDescent="0.35">
      <c r="B1493" s="9" t="str">
        <f t="shared" si="888"/>
        <v>SPS4</v>
      </c>
      <c r="C1493" s="9" t="str">
        <f t="shared" si="922"/>
        <v>CH</v>
      </c>
      <c r="D1493" s="2" t="s">
        <v>1485</v>
      </c>
      <c r="E1493" s="2" t="s">
        <v>1230</v>
      </c>
      <c r="F1493" s="1" t="s">
        <v>292</v>
      </c>
      <c r="G1493" s="1" t="s">
        <v>292</v>
      </c>
      <c r="H1493" s="1" t="s">
        <v>292</v>
      </c>
      <c r="I1493" s="1" t="s">
        <v>292</v>
      </c>
      <c r="J1493" s="1" t="s">
        <v>292</v>
      </c>
      <c r="K1493" s="1" t="s">
        <v>292</v>
      </c>
    </row>
    <row r="1494" spans="2:11" x14ac:dyDescent="0.35">
      <c r="B1494" s="5" t="str">
        <f t="shared" si="888"/>
        <v>SPS4</v>
      </c>
      <c r="C1494" s="5" t="str">
        <f t="shared" si="922"/>
        <v>CH</v>
      </c>
      <c r="D1494" t="s">
        <v>1486</v>
      </c>
      <c r="E1494" t="str">
        <f>E1493</f>
        <v>km/MJ</v>
      </c>
      <c r="F1494" s="1">
        <f>F1492/F1490</f>
        <v>5.6961631559156484E-2</v>
      </c>
      <c r="G1494" s="1">
        <f t="shared" ref="G1494:K1494" si="928">G1492/G1490</f>
        <v>5.5669024657354849E-2</v>
      </c>
      <c r="H1494" s="1">
        <f t="shared" si="928"/>
        <v>5.3730114304652132E-2</v>
      </c>
      <c r="I1494" s="1">
        <f t="shared" si="928"/>
        <v>5.049859705014785E-2</v>
      </c>
      <c r="J1494" s="1">
        <f t="shared" si="928"/>
        <v>5.0498597050147948E-2</v>
      </c>
      <c r="K1494" s="1">
        <f t="shared" si="928"/>
        <v>5.0498597050147906E-2</v>
      </c>
    </row>
    <row r="1495" spans="2:11" x14ac:dyDescent="0.35">
      <c r="B1495" s="9" t="str">
        <f t="shared" si="888"/>
        <v>SPS4</v>
      </c>
      <c r="C1495" s="9" t="str">
        <f t="shared" si="922"/>
        <v>CH</v>
      </c>
      <c r="D1495" s="2" t="s">
        <v>1488</v>
      </c>
      <c r="E1495" s="2" t="s">
        <v>8</v>
      </c>
      <c r="F1495" s="3">
        <f>SUM(F1496,F1501,F1506)</f>
        <v>2.4121259971075975</v>
      </c>
      <c r="G1495" s="3">
        <f t="shared" ref="G1495:K1495" si="929">SUM(G1496,G1501,G1506)</f>
        <v>2.1615617395602786</v>
      </c>
      <c r="H1495" s="3">
        <f t="shared" si="929"/>
        <v>1.8801772373302372</v>
      </c>
      <c r="I1495" s="3">
        <f t="shared" si="929"/>
        <v>1.4951539887697189</v>
      </c>
      <c r="J1495" s="3">
        <f t="shared" si="929"/>
        <v>1.0562634057120488</v>
      </c>
      <c r="K1495" s="3">
        <f t="shared" si="929"/>
        <v>0.88965202230009588</v>
      </c>
    </row>
    <row r="1496" spans="2:11" x14ac:dyDescent="0.35">
      <c r="B1496" s="5" t="str">
        <f t="shared" si="888"/>
        <v>SPS4</v>
      </c>
      <c r="C1496" t="str">
        <f t="shared" ref="C1496:C1500" si="930">C1495</f>
        <v>CH</v>
      </c>
      <c r="D1496" t="s">
        <v>1489</v>
      </c>
      <c r="E1496" t="str">
        <f>E1495</f>
        <v>PJ/yr.</v>
      </c>
      <c r="F1496" s="1">
        <f>SUM(F1497:F1500)</f>
        <v>2.0524046153856854E-3</v>
      </c>
      <c r="G1496" s="1">
        <f t="shared" ref="G1496:K1496" si="931">SUM(G1497:G1500)</f>
        <v>2.8725839608274525E-3</v>
      </c>
      <c r="H1496" s="1">
        <f t="shared" si="931"/>
        <v>3.0023430322600134E-3</v>
      </c>
      <c r="I1496" s="1">
        <f t="shared" si="931"/>
        <v>2.3366158217797291E-3</v>
      </c>
      <c r="J1496" s="1">
        <f t="shared" si="931"/>
        <v>8.8402987534445202E-4</v>
      </c>
      <c r="K1496" s="1">
        <f t="shared" si="931"/>
        <v>5.1117962880490621E-4</v>
      </c>
    </row>
    <row r="1497" spans="2:11" x14ac:dyDescent="0.35">
      <c r="B1497" t="str">
        <f t="shared" si="888"/>
        <v>SPS4</v>
      </c>
      <c r="C1497" t="str">
        <f t="shared" si="930"/>
        <v>CH</v>
      </c>
      <c r="D1497" t="s">
        <v>1490</v>
      </c>
      <c r="E1497" t="str">
        <f t="shared" ref="E1497:E1500" si="932">E1496</f>
        <v>PJ/yr.</v>
      </c>
      <c r="F1497" s="1" cm="1">
        <f t="array" ref="F1497">SUMPRODUCT(("T_TW-BEVELC-S1"=[1]OUT_TransportEnergyCons!$A$3:$A$1000)*1,("Var_Fin"=[1]OUT_TransportEnergyCons!$B$3:$B$1000)*1,ISNUMBER(SEARCH("ELC",[1]OUT_TransportEnergyCons!$C$3:$C$1000))*1,[1]OUT_TransportEnergyCons!D$3:D$1000)</f>
        <v>1.5608855319410888E-3</v>
      </c>
      <c r="G1497" s="1" cm="1">
        <f t="array" ref="G1497">SUMPRODUCT(("T_TW-BEVELC-S1"=[1]OUT_TransportEnergyCons!$A$3:$A$1000)*1,("Var_Fin"=[1]OUT_TransportEnergyCons!$B$3:$B$1000)*1,ISNUMBER(SEARCH("ELC",[1]OUT_TransportEnergyCons!$C$3:$C$1000))*1,[1]OUT_TransportEnergyCons!E$3:E$1000)</f>
        <v>2.1418187652016006E-3</v>
      </c>
      <c r="H1497" s="1" cm="1">
        <f t="array" ref="H1497">SUMPRODUCT(("T_TW-BEVELC-S1"=[1]OUT_TransportEnergyCons!$A$3:$A$1000)*1,("Var_Fin"=[1]OUT_TransportEnergyCons!$B$3:$B$1000)*1,ISNUMBER(SEARCH("ELC",[1]OUT_TransportEnergyCons!$C$3:$C$1000))*1,[1]OUT_TransportEnergyCons!F$3:F$1000)</f>
        <v>2.1863639348735802E-3</v>
      </c>
      <c r="I1497" s="1" cm="1">
        <f t="array" ref="I1497">SUMPRODUCT(("T_TW-BEVELC-S1"=[1]OUT_TransportEnergyCons!$A$3:$A$1000)*1,("Var_Fin"=[1]OUT_TransportEnergyCons!$B$3:$B$1000)*1,ISNUMBER(SEARCH("ELC",[1]OUT_TransportEnergyCons!$C$3:$C$1000))*1,[1]OUT_TransportEnergyCons!G$3:G$1000)</f>
        <v>1.5257820684266249E-3</v>
      </c>
      <c r="J1497" s="1" cm="1">
        <f t="array" ref="J1497">SUMPRODUCT(("T_TW-BEVELC-S1"=[1]OUT_TransportEnergyCons!$A$3:$A$1000)*1,("Var_Fin"=[1]OUT_TransportEnergyCons!$B$3:$B$1000)*1,ISNUMBER(SEARCH("ELC",[1]OUT_TransportEnergyCons!$C$3:$C$1000))*1,[1]OUT_TransportEnergyCons!H$3:H$1000)</f>
        <v>3.1987525433782045E-4</v>
      </c>
      <c r="K1497" s="1" cm="1">
        <f t="array" ref="K1497">SUMPRODUCT(("T_TW-BEVELC-S1"=[1]OUT_TransportEnergyCons!$A$3:$A$1000)*1,("Var_Fin"=[1]OUT_TransportEnergyCons!$B$3:$B$1000)*1,ISNUMBER(SEARCH("ELC",[1]OUT_TransportEnergyCons!$C$3:$C$1000))*1,[1]OUT_TransportEnergyCons!I$3:I$1000)</f>
        <v>1.8709778191881117E-4</v>
      </c>
    </row>
    <row r="1498" spans="2:11" x14ac:dyDescent="0.35">
      <c r="B1498" t="str">
        <f t="shared" si="888"/>
        <v>SPS4</v>
      </c>
      <c r="C1498" t="str">
        <f t="shared" si="930"/>
        <v>CH</v>
      </c>
      <c r="D1498" t="s">
        <v>1491</v>
      </c>
      <c r="E1498" t="str">
        <f t="shared" si="932"/>
        <v>PJ/yr.</v>
      </c>
      <c r="F1498" s="1" cm="1">
        <f t="array" ref="F1498">SUMPRODUCT(("T_TW-BEVELC-S2"=[1]OUT_TransportEnergyCons!$A$3:$A$1000)*1,("Var_Fin"=[1]OUT_TransportEnergyCons!$B$3:$B$1000)*1,ISNUMBER(SEARCH("ELC",[1]OUT_TransportEnergyCons!$C$3:$C$1000))*1,[1]OUT_TransportEnergyCons!D$3:D$1000)</f>
        <v>3.5440522987563379E-4</v>
      </c>
      <c r="G1498" s="1" cm="1">
        <f t="array" ref="G1498">SUMPRODUCT(("T_TW-BEVELC-S2"=[1]OUT_TransportEnergyCons!$A$3:$A$1000)*1,("Var_Fin"=[1]OUT_TransportEnergyCons!$B$3:$B$1000)*1,ISNUMBER(SEARCH("ELC",[1]OUT_TransportEnergyCons!$C$3:$C$1000))*1,[1]OUT_TransportEnergyCons!E$3:E$1000)</f>
        <v>4.6723834225837667E-4</v>
      </c>
      <c r="H1498" s="1" cm="1">
        <f t="array" ref="H1498">SUMPRODUCT(("T_TW-BEVELC-S2"=[1]OUT_TransportEnergyCons!$A$3:$A$1000)*1,("Var_Fin"=[1]OUT_TransportEnergyCons!$B$3:$B$1000)*1,ISNUMBER(SEARCH("ELC",[1]OUT_TransportEnergyCons!$C$3:$C$1000))*1,[1]OUT_TransportEnergyCons!F$3:F$1000)</f>
        <v>4.9047123447803435E-4</v>
      </c>
      <c r="I1498" s="1" cm="1">
        <f t="array" ref="I1498">SUMPRODUCT(("T_TW-BEVELC-S2"=[1]OUT_TransportEnergyCons!$A$3:$A$1000)*1,("Var_Fin"=[1]OUT_TransportEnergyCons!$B$3:$B$1000)*1,ISNUMBER(SEARCH("ELC",[1]OUT_TransportEnergyCons!$C$3:$C$1000))*1,[1]OUT_TransportEnergyCons!G$3:G$1000)</f>
        <v>4.4058748039395795E-4</v>
      </c>
      <c r="J1498" s="1" cm="1">
        <f t="array" ref="J1498">SUMPRODUCT(("T_TW-BEVELC-S2"=[1]OUT_TransportEnergyCons!$A$3:$A$1000)*1,("Var_Fin"=[1]OUT_TransportEnergyCons!$B$3:$B$1000)*1,ISNUMBER(SEARCH("ELC",[1]OUT_TransportEnergyCons!$C$3:$C$1000))*1,[1]OUT_TransportEnergyCons!H$3:H$1000)</f>
        <v>1.515237535020325E-4</v>
      </c>
      <c r="K1498" s="1" cm="1">
        <f t="array" ref="K1498">SUMPRODUCT(("T_TW-BEVELC-S2"=[1]OUT_TransportEnergyCons!$A$3:$A$1000)*1,("Var_Fin"=[1]OUT_TransportEnergyCons!$B$3:$B$1000)*1,ISNUMBER(SEARCH("ELC",[1]OUT_TransportEnergyCons!$C$3:$C$1000))*1,[1]OUT_TransportEnergyCons!I$3:I$1000)</f>
        <v>9.6738886889760669E-5</v>
      </c>
    </row>
    <row r="1499" spans="2:11" x14ac:dyDescent="0.35">
      <c r="B1499" t="str">
        <f t="shared" si="888"/>
        <v>SPS4</v>
      </c>
      <c r="C1499" t="str">
        <f t="shared" si="930"/>
        <v>CH</v>
      </c>
      <c r="D1499" t="s">
        <v>1493</v>
      </c>
      <c r="E1499" t="str">
        <f t="shared" si="932"/>
        <v>PJ/yr.</v>
      </c>
      <c r="F1499" s="1" cm="1">
        <f t="array" ref="F1499">SUMPRODUCT(("T_TW-BEVELC-S3"=[1]OUT_TransportEnergyCons!$A$3:$A$1000)*1,("Var_Fin"=[1]OUT_TransportEnergyCons!$B$3:$B$1000)*1,ISNUMBER(SEARCH("ELC",[1]OUT_TransportEnergyCons!$C$3:$C$1000))*1,[1]OUT_TransportEnergyCons!D$3:D$1000)</f>
        <v>8.2650569201033207E-5</v>
      </c>
      <c r="G1499" s="1" cm="1">
        <f t="array" ref="G1499">SUMPRODUCT(("T_TW-BEVELC-S3"=[1]OUT_TransportEnergyCons!$A$3:$A$1000)*1,("Var_Fin"=[1]OUT_TransportEnergyCons!$B$3:$B$1000)*1,ISNUMBER(SEARCH("ELC",[1]OUT_TransportEnergyCons!$C$3:$C$1000))*1,[1]OUT_TransportEnergyCons!E$3:E$1000)</f>
        <v>1.5652995620338294E-4</v>
      </c>
      <c r="H1499" s="1" cm="1">
        <f t="array" ref="H1499">SUMPRODUCT(("T_TW-BEVELC-S3"=[1]OUT_TransportEnergyCons!$A$3:$A$1000)*1,("Var_Fin"=[1]OUT_TransportEnergyCons!$B$3:$B$1000)*1,ISNUMBER(SEARCH("ELC",[1]OUT_TransportEnergyCons!$C$3:$C$1000))*1,[1]OUT_TransportEnergyCons!F$3:F$1000)</f>
        <v>1.8244999160155087E-4</v>
      </c>
      <c r="I1499" s="1" cm="1">
        <f t="array" ref="I1499">SUMPRODUCT(("T_TW-BEVELC-S3"=[1]OUT_TransportEnergyCons!$A$3:$A$1000)*1,("Var_Fin"=[1]OUT_TransportEnergyCons!$B$3:$B$1000)*1,ISNUMBER(SEARCH("ELC",[1]OUT_TransportEnergyCons!$C$3:$C$1000))*1,[1]OUT_TransportEnergyCons!G$3:G$1000)</f>
        <v>2.0415686863010877E-4</v>
      </c>
      <c r="J1499" s="1" cm="1">
        <f t="array" ref="J1499">SUMPRODUCT(("T_TW-BEVELC-S3"=[1]OUT_TransportEnergyCons!$A$3:$A$1000)*1,("Var_Fin"=[1]OUT_TransportEnergyCons!$B$3:$B$1000)*1,ISNUMBER(SEARCH("ELC",[1]OUT_TransportEnergyCons!$C$3:$C$1000))*1,[1]OUT_TransportEnergyCons!H$3:H$1000)</f>
        <v>1.7494890496622727E-4</v>
      </c>
      <c r="K1499" s="1" cm="1">
        <f t="array" ref="K1499">SUMPRODUCT(("T_TW-BEVELC-S3"=[1]OUT_TransportEnergyCons!$A$3:$A$1000)*1,("Var_Fin"=[1]OUT_TransportEnergyCons!$B$3:$B$1000)*1,ISNUMBER(SEARCH("ELC",[1]OUT_TransportEnergyCons!$C$3:$C$1000))*1,[1]OUT_TransportEnergyCons!I$3:I$1000)</f>
        <v>8.3415836651399785E-5</v>
      </c>
    </row>
    <row r="1500" spans="2:11" x14ac:dyDescent="0.35">
      <c r="B1500" t="str">
        <f t="shared" si="888"/>
        <v>SPS4</v>
      </c>
      <c r="C1500" t="str">
        <f t="shared" si="930"/>
        <v>CH</v>
      </c>
      <c r="D1500" t="s">
        <v>1492</v>
      </c>
      <c r="E1500" t="str">
        <f t="shared" si="932"/>
        <v>PJ/yr.</v>
      </c>
      <c r="F1500" s="1" cm="1">
        <f t="array" ref="F1500">SUMPRODUCT(("T_TW-BEVELC-S4"=[1]OUT_TransportEnergyCons!$A$3:$A$1000)*1,("Var_Fin"=[1]OUT_TransportEnergyCons!$B$3:$B$1000)*1,ISNUMBER(SEARCH("ELC",[1]OUT_TransportEnergyCons!$C$3:$C$1000))*1,[1]OUT_TransportEnergyCons!D$3:D$1000)</f>
        <v>5.44632843679297E-5</v>
      </c>
      <c r="G1500" s="1" cm="1">
        <f t="array" ref="G1500">SUMPRODUCT(("T_TW-BEVELC-S4"=[1]OUT_TransportEnergyCons!$A$3:$A$1000)*1,("Var_Fin"=[1]OUT_TransportEnergyCons!$B$3:$B$1000)*1,ISNUMBER(SEARCH("ELC",[1]OUT_TransportEnergyCons!$C$3:$C$1000))*1,[1]OUT_TransportEnergyCons!E$3:E$1000)</f>
        <v>1.0699689716409257E-4</v>
      </c>
      <c r="H1500" s="1" cm="1">
        <f t="array" ref="H1500">SUMPRODUCT(("T_TW-BEVELC-S4"=[1]OUT_TransportEnergyCons!$A$3:$A$1000)*1,("Var_Fin"=[1]OUT_TransportEnergyCons!$B$3:$B$1000)*1,ISNUMBER(SEARCH("ELC",[1]OUT_TransportEnergyCons!$C$3:$C$1000))*1,[1]OUT_TransportEnergyCons!F$3:F$1000)</f>
        <v>1.4305787130684802E-4</v>
      </c>
      <c r="I1500" s="1" cm="1">
        <f t="array" ref="I1500">SUMPRODUCT(("T_TW-BEVELC-S4"=[1]OUT_TransportEnergyCons!$A$3:$A$1000)*1,("Var_Fin"=[1]OUT_TransportEnergyCons!$B$3:$B$1000)*1,ISNUMBER(SEARCH("ELC",[1]OUT_TransportEnergyCons!$C$3:$C$1000))*1,[1]OUT_TransportEnergyCons!G$3:G$1000)</f>
        <v>1.660894043290378E-4</v>
      </c>
      <c r="J1500" s="1" cm="1">
        <f t="array" ref="J1500">SUMPRODUCT(("T_TW-BEVELC-S4"=[1]OUT_TransportEnergyCons!$A$3:$A$1000)*1,("Var_Fin"=[1]OUT_TransportEnergyCons!$B$3:$B$1000)*1,ISNUMBER(SEARCH("ELC",[1]OUT_TransportEnergyCons!$C$3:$C$1000))*1,[1]OUT_TransportEnergyCons!H$3:H$1000)</f>
        <v>2.3768196253837176E-4</v>
      </c>
      <c r="K1500" s="1" cm="1">
        <f t="array" ref="K1500">SUMPRODUCT(("T_TW-BEVELC-S4"=[1]OUT_TransportEnergyCons!$A$3:$A$1000)*1,("Var_Fin"=[1]OUT_TransportEnergyCons!$B$3:$B$1000)*1,ISNUMBER(SEARCH("ELC",[1]OUT_TransportEnergyCons!$C$3:$C$1000))*1,[1]OUT_TransportEnergyCons!I$3:I$1000)</f>
        <v>1.4392712334493463E-4</v>
      </c>
    </row>
    <row r="1501" spans="2:11" x14ac:dyDescent="0.35">
      <c r="B1501" s="5" t="str">
        <f t="shared" si="888"/>
        <v>SPS4</v>
      </c>
      <c r="C1501" t="str">
        <f t="shared" ref="C1501:C1505" si="933">C1500</f>
        <v>CH</v>
      </c>
      <c r="D1501" t="s">
        <v>1494</v>
      </c>
      <c r="E1501" t="str">
        <f>E1500</f>
        <v>PJ/yr.</v>
      </c>
      <c r="F1501" s="1">
        <f>SUM(F1502:F1505)</f>
        <v>0</v>
      </c>
      <c r="G1501" s="1">
        <f t="shared" ref="G1501:K1501" si="934">SUM(G1502:G1505)</f>
        <v>0</v>
      </c>
      <c r="H1501" s="1">
        <f t="shared" si="934"/>
        <v>0</v>
      </c>
      <c r="I1501" s="1">
        <f t="shared" si="934"/>
        <v>1.0076976238419235E-4</v>
      </c>
      <c r="J1501" s="1">
        <f t="shared" si="934"/>
        <v>3.2734211354496618E-4</v>
      </c>
      <c r="K1501" s="1">
        <f t="shared" si="934"/>
        <v>2.7454955860762317E-4</v>
      </c>
    </row>
    <row r="1502" spans="2:11" x14ac:dyDescent="0.35">
      <c r="B1502" t="str">
        <f t="shared" si="888"/>
        <v>SPS4</v>
      </c>
      <c r="C1502" t="str">
        <f t="shared" si="933"/>
        <v>CH</v>
      </c>
      <c r="D1502" t="s">
        <v>1495</v>
      </c>
      <c r="E1502" t="str">
        <f t="shared" ref="E1502:E1505" si="935">E1501</f>
        <v>PJ/yr.</v>
      </c>
      <c r="F1502" s="1" cm="1">
        <f t="array" ref="F1502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2" s="1" cm="1">
        <f t="array" ref="G1502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2" s="1" cm="1">
        <f t="array" ref="H1502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2" s="1" cm="1">
        <f t="array" ref="I1502">SUMPRODUCT(("T_TW-fclh2o-S1"=[1]OUT_TransportEnergyCons!$A$3:$A$1000)*1,("Var_Fin"=[1]OUT_TransportEnergyCons!$B$3:$B$1000)*1,ISNUMBER(SEARCH("h2",[1]OUT_TransportEnergyCons!$C$3:$C$1000))*1,[1]OUT_TransportEnergyCons!G$3:G$1000)</f>
        <v>3.2101529784992666E-5</v>
      </c>
      <c r="J1502" s="1" cm="1">
        <f t="array" ref="J1502">SUMPRODUCT(("T_TW-fclh2o-S1"=[1]OUT_TransportEnergyCons!$A$3:$A$1000)*1,("Var_Fin"=[1]OUT_TransportEnergyCons!$B$3:$B$1000)*1,ISNUMBER(SEARCH("h2",[1]OUT_TransportEnergyCons!$C$3:$C$1000))*1,[1]OUT_TransportEnergyCons!H$3:H$1000)</f>
        <v>1.0788200098660687E-4</v>
      </c>
      <c r="K1502" s="1" cm="1">
        <f t="array" ref="K1502">SUMPRODUCT(("T_TW-fclh2o-S1"=[1]OUT_TransportEnergyCons!$A$3:$A$1000)*1,("Var_Fin"=[1]OUT_TransportEnergyCons!$B$3:$B$1000)*1,ISNUMBER(SEARCH("h2",[1]OUT_TransportEnergyCons!$C$3:$C$1000))*1,[1]OUT_TransportEnergyCons!I$3:I$1000)</f>
        <v>7.3492538748038457E-5</v>
      </c>
    </row>
    <row r="1503" spans="2:11" x14ac:dyDescent="0.35">
      <c r="B1503" t="str">
        <f t="shared" si="888"/>
        <v>SPS4</v>
      </c>
      <c r="C1503" t="str">
        <f t="shared" si="933"/>
        <v>CH</v>
      </c>
      <c r="D1503" t="s">
        <v>1496</v>
      </c>
      <c r="E1503" t="str">
        <f t="shared" si="935"/>
        <v>PJ/yr.</v>
      </c>
      <c r="F1503" s="1" cm="1">
        <f t="array" ref="F1503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3" s="1" cm="1">
        <f t="array" ref="G1503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3" s="1" cm="1">
        <f t="array" ref="H1503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3" s="1" cm="1">
        <f t="array" ref="I1503">SUMPRODUCT(("T_TW-fclh2o-S2"=[1]OUT_TransportEnergyCons!$A$3:$A$1000)*1,("Var_Fin"=[1]OUT_TransportEnergyCons!$B$3:$B$1000)*1,ISNUMBER(SEARCH("h2",[1]OUT_TransportEnergyCons!$C$3:$C$1000))*1,[1]OUT_TransportEnergyCons!G$3:G$1000)</f>
        <v>2.8687266002060288E-5</v>
      </c>
      <c r="J1503" s="1" cm="1">
        <f t="array" ref="J1503">SUMPRODUCT(("T_TW-fclh2o-S2"=[1]OUT_TransportEnergyCons!$A$3:$A$1000)*1,("Var_Fin"=[1]OUT_TransportEnergyCons!$B$3:$B$1000)*1,ISNUMBER(SEARCH("h2",[1]OUT_TransportEnergyCons!$C$3:$C$1000))*1,[1]OUT_TransportEnergyCons!H$3:H$1000)</f>
        <v>9.3748204020996072E-5</v>
      </c>
      <c r="K1503" s="1" cm="1">
        <f t="array" ref="K1503">SUMPRODUCT(("T_TW-fclh2o-S2"=[1]OUT_TransportEnergyCons!$A$3:$A$1000)*1,("Var_Fin"=[1]OUT_TransportEnergyCons!$B$3:$B$1000)*1,ISNUMBER(SEARCH("h2",[1]OUT_TransportEnergyCons!$C$3:$C$1000))*1,[1]OUT_TransportEnergyCons!I$3:I$1000)</f>
        <v>6.7037633368461928E-5</v>
      </c>
    </row>
    <row r="1504" spans="2:11" x14ac:dyDescent="0.35">
      <c r="B1504" t="str">
        <f t="shared" si="888"/>
        <v>SPS4</v>
      </c>
      <c r="C1504" t="str">
        <f t="shared" si="933"/>
        <v>CH</v>
      </c>
      <c r="D1504" t="s">
        <v>1497</v>
      </c>
      <c r="E1504" t="str">
        <f t="shared" si="935"/>
        <v>PJ/yr.</v>
      </c>
      <c r="F1504" s="1" cm="1">
        <f t="array" ref="F1504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SUMPRODUCT(("T_TW-fclh2o-S3"=[1]OUT_TransportEnergyCons!$A$3:$A$1000)*1,("Var_Fin"=[1]OUT_TransportEnergyCons!$B$3:$B$1000)*1,ISNUMBER(SEARCH("h2",[1]OUT_TransportEnergyCons!$C$3:$C$1000))*1,[1]OUT_TransportEnergyCons!G$3:G$1000)</f>
        <v>2.5618828747199529E-5</v>
      </c>
      <c r="J1504" s="1" cm="1">
        <f t="array" ref="J1504">SUMPRODUCT(("T_TW-fclh2o-S3"=[1]OUT_TransportEnergyCons!$A$3:$A$1000)*1,("Var_Fin"=[1]OUT_TransportEnergyCons!$B$3:$B$1000)*1,ISNUMBER(SEARCH("h2",[1]OUT_TransportEnergyCons!$C$3:$C$1000))*1,[1]OUT_TransportEnergyCons!H$3:H$1000)</f>
        <v>7.8764174767965487E-5</v>
      </c>
      <c r="K1504" s="1" cm="1">
        <f t="array" ref="K1504">SUMPRODUCT(("T_TW-fclh2o-S3"=[1]OUT_TransportEnergyCons!$A$3:$A$1000)*1,("Var_Fin"=[1]OUT_TransportEnergyCons!$B$3:$B$1000)*1,ISNUMBER(SEARCH("h2",[1]OUT_TransportEnergyCons!$C$3:$C$1000))*1,[1]OUT_TransportEnergyCons!I$3:I$1000)</f>
        <v>7.7546616725957689E-5</v>
      </c>
    </row>
    <row r="1505" spans="2:11" x14ac:dyDescent="0.35">
      <c r="B1505" t="str">
        <f t="shared" si="888"/>
        <v>SPS4</v>
      </c>
      <c r="C1505" t="str">
        <f t="shared" si="933"/>
        <v>CH</v>
      </c>
      <c r="D1505" t="s">
        <v>1498</v>
      </c>
      <c r="E1505" t="str">
        <f t="shared" si="935"/>
        <v>PJ/yr.</v>
      </c>
      <c r="F1505" s="1" cm="1">
        <f t="array" ref="F1505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SUMPRODUCT(("T_TW-fclh2o-S4"=[1]OUT_TransportEnergyCons!$A$3:$A$1000)*1,("Var_Fin"=[1]OUT_TransportEnergyCons!$B$3:$B$1000)*1,ISNUMBER(SEARCH("h2",[1]OUT_TransportEnergyCons!$C$3:$C$1000))*1,[1]OUT_TransportEnergyCons!G$3:G$1000)</f>
        <v>1.4362137849939878E-5</v>
      </c>
      <c r="J1505" s="1" cm="1">
        <f t="array" ref="J1505">SUMPRODUCT(("T_TW-fclh2o-S4"=[1]OUT_TransportEnergyCons!$A$3:$A$1000)*1,("Var_Fin"=[1]OUT_TransportEnergyCons!$B$3:$B$1000)*1,ISNUMBER(SEARCH("h2",[1]OUT_TransportEnergyCons!$C$3:$C$1000))*1,[1]OUT_TransportEnergyCons!H$3:H$1000)</f>
        <v>4.6947733769397771E-5</v>
      </c>
      <c r="K1505" s="1" cm="1">
        <f t="array" ref="K1505">SUMPRODUCT(("T_TW-fclh2o-S4"=[1]OUT_TransportEnergyCons!$A$3:$A$1000)*1,("Var_Fin"=[1]OUT_TransportEnergyCons!$B$3:$B$1000)*1,ISNUMBER(SEARCH("h2",[1]OUT_TransportEnergyCons!$C$3:$C$1000))*1,[1]OUT_TransportEnergyCons!I$3:I$1000)</f>
        <v>5.6472769765165106E-5</v>
      </c>
    </row>
    <row r="1506" spans="2:11" x14ac:dyDescent="0.35">
      <c r="B1506" s="5" t="str">
        <f t="shared" si="888"/>
        <v>SPS4</v>
      </c>
      <c r="C1506" t="str">
        <f t="shared" ref="C1506:C1516" si="936">C1505</f>
        <v>CH</v>
      </c>
      <c r="D1506" t="s">
        <v>1499</v>
      </c>
      <c r="E1506" t="str">
        <f>E1505</f>
        <v>PJ/yr.</v>
      </c>
      <c r="F1506" s="1">
        <f>SUM(F1511:F1515)</f>
        <v>2.4100735924922119</v>
      </c>
      <c r="G1506" s="1">
        <f t="shared" ref="G1506:K1506" si="937">SUM(G1511:G1515)</f>
        <v>2.1586891555994514</v>
      </c>
      <c r="H1506" s="1">
        <f t="shared" si="937"/>
        <v>1.8771748942979771</v>
      </c>
      <c r="I1506" s="1">
        <f t="shared" si="937"/>
        <v>1.492716603185555</v>
      </c>
      <c r="J1506" s="1">
        <f t="shared" si="937"/>
        <v>1.0550520337231595</v>
      </c>
      <c r="K1506" s="1">
        <f t="shared" si="937"/>
        <v>0.88886629311268339</v>
      </c>
    </row>
    <row r="1507" spans="2:11" x14ac:dyDescent="0.35">
      <c r="B1507" s="5" t="str">
        <f t="shared" si="888"/>
        <v>SPS4</v>
      </c>
      <c r="C1507" s="5" t="str">
        <f>C1506</f>
        <v>CH</v>
      </c>
      <c r="D1507" t="s">
        <v>1500</v>
      </c>
      <c r="E1507" t="str">
        <f>E1506</f>
        <v>PJ/yr.</v>
      </c>
      <c r="F1507" s="1">
        <f>F1506-F1508</f>
        <v>2.278143921022187</v>
      </c>
      <c r="G1507" s="1">
        <f t="shared" ref="G1507:K1507" si="938">G1506-G1508</f>
        <v>2.0405120573747069</v>
      </c>
      <c r="H1507" s="1">
        <f t="shared" si="938"/>
        <v>1.7744163421913075</v>
      </c>
      <c r="I1507" s="1">
        <f t="shared" si="938"/>
        <v>1.4109590450838831</v>
      </c>
      <c r="J1507" s="1">
        <f t="shared" si="938"/>
        <v>0.99728375855386686</v>
      </c>
      <c r="K1507" s="1">
        <f t="shared" si="938"/>
        <v>0.84019457009646192</v>
      </c>
    </row>
    <row r="1508" spans="2:11" x14ac:dyDescent="0.35">
      <c r="B1508" s="5" t="str">
        <f t="shared" si="888"/>
        <v>SPS4</v>
      </c>
      <c r="C1508" s="5" t="str">
        <f t="shared" ref="C1508:C1510" si="939">C1507</f>
        <v>CH</v>
      </c>
      <c r="D1508" t="s">
        <v>1501</v>
      </c>
      <c r="E1508" t="str">
        <f>E1507</f>
        <v>PJ/yr.</v>
      </c>
      <c r="F1508" s="1">
        <f>SUM(F1509:F1510)</f>
        <v>0.13192967147002493</v>
      </c>
      <c r="G1508" s="1">
        <f t="shared" ref="G1508" si="940">SUM(G1509:G1510)</f>
        <v>0.11817709822474455</v>
      </c>
      <c r="H1508" s="1">
        <f t="shared" ref="H1508" si="941">SUM(H1509:H1510)</f>
        <v>0.10275855210666962</v>
      </c>
      <c r="I1508" s="1">
        <f t="shared" ref="I1508" si="942">SUM(I1509:I1510)</f>
        <v>8.1757558101671929E-2</v>
      </c>
      <c r="J1508" s="1">
        <f t="shared" ref="J1508" si="943">SUM(J1509:J1510)</f>
        <v>5.7768275169292595E-2</v>
      </c>
      <c r="K1508" s="1">
        <f t="shared" ref="K1508" si="944">SUM(K1509:K1510)</f>
        <v>4.8671723016221496E-2</v>
      </c>
    </row>
    <row r="1509" spans="2:11" x14ac:dyDescent="0.35">
      <c r="B1509" s="5" t="str">
        <f t="shared" si="888"/>
        <v>SPS4</v>
      </c>
      <c r="C1509" s="5" t="str">
        <f t="shared" si="939"/>
        <v>CH</v>
      </c>
      <c r="D1509" t="s">
        <v>1502</v>
      </c>
      <c r="E1509" t="str">
        <f>E1508</f>
        <v>PJ/yr.</v>
      </c>
      <c r="F1509" s="1">
        <f>[1]Transport!B$25/SUM([1]Transport!B$21,[1]Transport!B$25)*F1506*(F$34+F$598)/(F$34+F$598+F$37)</f>
        <v>0.13192967147002493</v>
      </c>
      <c r="G1509" s="1">
        <f>[1]Transport!C$25/SUM([1]Transport!C$21,[1]Transport!C$25)*G1506*(G$34+G$598)/(G$34+G$598+G$37)</f>
        <v>0.11817709822474455</v>
      </c>
      <c r="H1509" s="1">
        <f>[1]Transport!D$25/SUM([1]Transport!D$21,[1]Transport!D$25)*H1506*(H$34+H$598)/(H$34+H$598+H$37)</f>
        <v>0.10275855210666962</v>
      </c>
      <c r="I1509" s="1">
        <f>[1]Transport!E$25/SUM([1]Transport!E$21,[1]Transport!E$25)*I1506*(I$34+I$598)/(I$34+I$598+I$37)</f>
        <v>8.1757558101671929E-2</v>
      </c>
      <c r="J1509" s="1">
        <f>[1]Transport!F$25/SUM([1]Transport!F$21,[1]Transport!F$25)*J1506*(J$34+J$598)/(J$34+J$598+J$37)</f>
        <v>5.7768275169292595E-2</v>
      </c>
      <c r="K1509" s="1">
        <f>[1]Transport!G$25/SUM([1]Transport!G$21,[1]Transport!G$25)*K1506*(K$34+K$598)/(K$34+K$598+K$37)</f>
        <v>4.8671723016221496E-2</v>
      </c>
    </row>
    <row r="1510" spans="2:11" x14ac:dyDescent="0.35">
      <c r="B1510" s="5" t="str">
        <f t="shared" si="888"/>
        <v>SPS4</v>
      </c>
      <c r="C1510" s="5" t="str">
        <f t="shared" si="939"/>
        <v>CH</v>
      </c>
      <c r="D1510" t="s">
        <v>1503</v>
      </c>
      <c r="E1510" t="str">
        <f>E1509</f>
        <v>PJ/yr.</v>
      </c>
      <c r="F1510" s="1">
        <f>(F$37+F$717)/([1]Transport!B$21+[1]Transport!B$25)*F1506</f>
        <v>0</v>
      </c>
      <c r="G1510" s="1">
        <f>(G$37+G$717)/([1]Transport!C$21+[1]Transport!C$25)*G1506</f>
        <v>0</v>
      </c>
      <c r="H1510" s="1">
        <f>(H$37+H$717)/([1]Transport!D$21+[1]Transport!D$25)*H1506</f>
        <v>0</v>
      </c>
      <c r="I1510" s="1">
        <f>(I$37+I$717)/([1]Transport!E$21+[1]Transport!E$25)*I1506</f>
        <v>0</v>
      </c>
      <c r="J1510" s="1">
        <f>(J$37+J$717)/([1]Transport!F$21+[1]Transport!F$25)*J1506</f>
        <v>0</v>
      </c>
      <c r="K1510" s="1">
        <f>(K$37+K$717)/([1]Transport!G$21+[1]Transport!G$25)*K1506</f>
        <v>0</v>
      </c>
    </row>
    <row r="1511" spans="2:11" x14ac:dyDescent="0.35">
      <c r="B1511" t="str">
        <f t="shared" si="888"/>
        <v>SPS4</v>
      </c>
      <c r="C1511" t="str">
        <f>C1505</f>
        <v>CH</v>
      </c>
      <c r="D1511" t="s">
        <v>1578</v>
      </c>
      <c r="E1511" t="str">
        <f>E1505</f>
        <v>PJ/yr.</v>
      </c>
      <c r="F1511" s="1" cm="1">
        <f t="array" ref="F1511">SUMPRODUCT(("T_TW-ICEGSLEXT"=[1]OUT_TransportEnergyCons!$A$3:$A$1000)*1,("Var_Fin"=[1]OUT_TransportEnergyCons!$B$3:$B$1000)*1,ISNUMBER(SEARCH("gsl",[1]OUT_TransportEnergyCons!$C$3:$C$1000))*1,[1]OUT_TransportEnergyCons!D$3:D$1000)</f>
        <v>1.9844829641703878</v>
      </c>
      <c r="G1511" s="1" cm="1">
        <f t="array" ref="G1511">SUMPRODUCT(("T_TW-ICEGSLEXT"=[1]OUT_TransportEnergyCons!$A$3:$A$1000)*1,("Var_Fin"=[1]OUT_TransportEnergyCons!$B$3:$B$1000)*1,ISNUMBER(SEARCH("gsl",[1]OUT_TransportEnergyCons!$C$3:$C$1000))*1,[1]OUT_TransportEnergyCons!E$3:E$1000)</f>
        <v>1.4972275328833791</v>
      </c>
      <c r="H1511" s="1" cm="1">
        <f t="array" ref="H1511">SUMPRODUCT(("T_TW-ICEGSLEXT"=[1]OUT_TransportEnergyCons!$A$3:$A$1000)*1,("Var_Fin"=[1]OUT_TransportEnergyCons!$B$3:$B$1000)*1,ISNUMBER(SEARCH("gsl",[1]OUT_TransportEnergyCons!$C$3:$C$1000))*1,[1]OUT_TransportEnergyCons!F$3:F$1000)</f>
        <v>1.0389915755358146</v>
      </c>
      <c r="I1511" s="1" cm="1">
        <f t="array" ref="I1511">SUMPRODUCT(("T_TW-ICEGSLEXT"=[1]OUT_TransportEnergyCons!$A$3:$A$1000)*1,("Var_Fin"=[1]OUT_TransportEnergyCons!$B$3:$B$1000)*1,ISNUMBER(SEARCH("gsl",[1]OUT_TransportEnergyCons!$C$3:$C$1000))*1,[1]OUT_TransportEnergyCons!G$3:G$1000)</f>
        <v>0.45315119465510373</v>
      </c>
      <c r="J1511" s="1" cm="1">
        <f t="array" ref="J1511">SUMPRODUCT(("T_TW-ICEGSLEXT"=[1]OUT_TransportEnergyCons!$A$3:$A$1000)*1,("Var_Fin"=[1]OUT_TransportEnergyCons!$B$3:$B$1000)*1,ISNUMBER(SEARCH("gsl",[1]OUT_TransportEnergyCons!$C$3:$C$1000))*1,[1]OUT_TransportEnergyCons!H$3:H$1000)</f>
        <v>0</v>
      </c>
      <c r="K1511" s="1" cm="1">
        <f t="array" ref="K1511">SUMPRODUCT(("T_TW-ICEGSLEXT"=[1]OUT_TransportEnergyCons!$A$3:$A$1000)*1,("Var_Fin"=[1]OUT_TransportEnergyCons!$B$3:$B$1000)*1,ISNUMBER(SEARCH("gsl",[1]OUT_TransportEnergyCons!$C$3:$C$1000))*1,[1]OUT_TransportEnergyCons!I$3:I$1000)</f>
        <v>0</v>
      </c>
    </row>
    <row r="1512" spans="2:11" x14ac:dyDescent="0.35">
      <c r="B1512" t="str">
        <f t="shared" si="888"/>
        <v>SPS4</v>
      </c>
      <c r="C1512" t="str">
        <f>C1506</f>
        <v>CH</v>
      </c>
      <c r="D1512" t="s">
        <v>1579</v>
      </c>
      <c r="E1512" t="str">
        <f>E1506</f>
        <v>PJ/yr.</v>
      </c>
      <c r="F1512" s="1" cm="1">
        <f t="array" ref="F1512">SUMPRODUCT(("T_TW-icegsl-S1"=[1]OUT_TransportEnergyCons!$A$3:$A$1000)*1,("Var_Fin"=[1]OUT_TransportEnergyCons!$B$3:$B$1000)*1,ISNUMBER(SEARCH("gsl",[1]OUT_TransportEnergyCons!$C$3:$C$1000))*1,[1]OUT_TransportEnergyCons!D$3:D$1000)</f>
        <v>4.4226412110604858E-2</v>
      </c>
      <c r="G1512" s="1" cm="1">
        <f t="array" ref="G1512">SUMPRODUCT(("T_TW-icegsl-S1"=[1]OUT_TransportEnergyCons!$A$3:$A$1000)*1,("Var_Fin"=[1]OUT_TransportEnergyCons!$B$3:$B$1000)*1,ISNUMBER(SEARCH("gsl",[1]OUT_TransportEnergyCons!$C$3:$C$1000))*1,[1]OUT_TransportEnergyCons!E$3:E$1000)</f>
        <v>0.17450722263329979</v>
      </c>
      <c r="H1512" s="1" cm="1">
        <f t="array" ref="H1512">SUMPRODUCT(("T_TW-icegsl-S1"=[1]OUT_TransportEnergyCons!$A$3:$A$1000)*1,("Var_Fin"=[1]OUT_TransportEnergyCons!$B$3:$B$1000)*1,ISNUMBER(SEARCH("gsl",[1]OUT_TransportEnergyCons!$C$3:$C$1000))*1,[1]OUT_TransportEnergyCons!F$3:F$1000)</f>
        <v>0.34580503235776794</v>
      </c>
      <c r="I1512" s="1" cm="1">
        <f t="array" ref="I1512">SUMPRODUCT(("T_TW-icegsl-S1"=[1]OUT_TransportEnergyCons!$A$3:$A$1000)*1,("Var_Fin"=[1]OUT_TransportEnergyCons!$B$3:$B$1000)*1,ISNUMBER(SEARCH("gsl",[1]OUT_TransportEnergyCons!$C$3:$C$1000))*1,[1]OUT_TransportEnergyCons!G$3:G$1000)</f>
        <v>0.61414510236407172</v>
      </c>
      <c r="J1512" s="1" cm="1">
        <f t="array" ref="J1512">SUMPRODUCT(("T_TW-icegsl-S1"=[1]OUT_TransportEnergyCons!$A$3:$A$1000)*1,("Var_Fin"=[1]OUT_TransportEnergyCons!$B$3:$B$1000)*1,ISNUMBER(SEARCH("gsl",[1]OUT_TransportEnergyCons!$C$3:$C$1000))*1,[1]OUT_TransportEnergyCons!H$3:H$1000)</f>
        <v>0.89360224395945631</v>
      </c>
      <c r="K1512" s="1" cm="1">
        <f t="array" ref="K1512">SUMPRODUCT(("T_TW-icegsl-S1"=[1]OUT_TransportEnergyCons!$A$3:$A$1000)*1,("Var_Fin"=[1]OUT_TransportEnergyCons!$B$3:$B$1000)*1,ISNUMBER(SEARCH("gsl",[1]OUT_TransportEnergyCons!$C$3:$C$1000))*1,[1]OUT_TransportEnergyCons!I$3:I$1000)</f>
        <v>0.88104128751040645</v>
      </c>
    </row>
    <row r="1513" spans="2:11" x14ac:dyDescent="0.35">
      <c r="B1513" t="str">
        <f t="shared" si="888"/>
        <v>SPS4</v>
      </c>
      <c r="C1513" t="str">
        <f t="shared" si="936"/>
        <v>CH</v>
      </c>
      <c r="D1513" t="s">
        <v>1580</v>
      </c>
      <c r="E1513" t="str">
        <f t="shared" ref="E1513:E1515" si="945">E1512</f>
        <v>PJ/yr.</v>
      </c>
      <c r="F1513" s="1" cm="1">
        <f t="array" ref="F1513">SUMPRODUCT(("T_TW-icegsl-S2"=[1]OUT_TransportEnergyCons!$A$3:$A$1000)*1,("Var_Fin"=[1]OUT_TransportEnergyCons!$B$3:$B$1000)*1,ISNUMBER(SEARCH("gsl",[1]OUT_TransportEnergyCons!$C$3:$C$1000))*1,[1]OUT_TransportEnergyCons!D$3:D$1000)</f>
        <v>0.11211691134873226</v>
      </c>
      <c r="G1513" s="1" cm="1">
        <f t="array" ref="G1513">SUMPRODUCT(("T_TW-icegsl-S2"=[1]OUT_TransportEnergyCons!$A$3:$A$1000)*1,("Var_Fin"=[1]OUT_TransportEnergyCons!$B$3:$B$1000)*1,ISNUMBER(SEARCH("gsl",[1]OUT_TransportEnergyCons!$C$3:$C$1000))*1,[1]OUT_TransportEnergyCons!E$3:E$1000)</f>
        <v>0.16300412137927089</v>
      </c>
      <c r="H1513" s="1" cm="1">
        <f t="array" ref="H1513">SUMPRODUCT(("T_TW-icegsl-S2"=[1]OUT_TransportEnergyCons!$A$3:$A$1000)*1,("Var_Fin"=[1]OUT_TransportEnergyCons!$B$3:$B$1000)*1,ISNUMBER(SEARCH("gsl",[1]OUT_TransportEnergyCons!$C$3:$C$1000))*1,[1]OUT_TransportEnergyCons!F$3:F$1000)</f>
        <v>0.16303287763383528</v>
      </c>
      <c r="I1513" s="1" cm="1">
        <f t="array" ref="I1513">SUMPRODUCT(("T_TW-icegsl-S2"=[1]OUT_TransportEnergyCons!$A$3:$A$1000)*1,("Var_Fin"=[1]OUT_TransportEnergyCons!$B$3:$B$1000)*1,ISNUMBER(SEARCH("gsl",[1]OUT_TransportEnergyCons!$C$3:$C$1000))*1,[1]OUT_TransportEnergyCons!G$3:G$1000)</f>
        <v>0.10203199008922363</v>
      </c>
      <c r="J1513" s="1" cm="1">
        <f t="array" ref="J1513">SUMPRODUCT(("T_TW-icegsl-S2"=[1]OUT_TransportEnergyCons!$A$3:$A$1000)*1,("Var_Fin"=[1]OUT_TransportEnergyCons!$B$3:$B$1000)*1,ISNUMBER(SEARCH("gsl",[1]OUT_TransportEnergyCons!$C$3:$C$1000))*1,[1]OUT_TransportEnergyCons!H$3:H$1000)</f>
        <v>5.8769767844290242E-4</v>
      </c>
      <c r="K1513" s="1" cm="1">
        <f t="array" ref="K1513">SUMPRODUCT(("T_TW-icegsl-S2"=[1]OUT_TransportEnergyCons!$A$3:$A$1000)*1,("Var_Fin"=[1]OUT_TransportEnergyCons!$B$3:$B$1000)*1,ISNUMBER(SEARCH("gsl",[1]OUT_TransportEnergyCons!$C$3:$C$1000))*1,[1]OUT_TransportEnergyCons!I$3:I$1000)</f>
        <v>3.5001348413544678E-4</v>
      </c>
    </row>
    <row r="1514" spans="2:11" x14ac:dyDescent="0.35">
      <c r="B1514" t="str">
        <f t="shared" si="888"/>
        <v>SPS4</v>
      </c>
      <c r="C1514" t="str">
        <f t="shared" si="936"/>
        <v>CH</v>
      </c>
      <c r="D1514" t="s">
        <v>1581</v>
      </c>
      <c r="E1514" t="str">
        <f t="shared" si="945"/>
        <v>PJ/yr.</v>
      </c>
      <c r="F1514" s="1" cm="1">
        <f t="array" ref="F1514">SUMPRODUCT(("T_TW-icegsl-S3"=[1]OUT_TransportEnergyCons!$A$3:$A$1000)*1,("Var_Fin"=[1]OUT_TransportEnergyCons!$B$3:$B$1000)*1,ISNUMBER(SEARCH("gsl",[1]OUT_TransportEnergyCons!$C$3:$C$1000))*1,[1]OUT_TransportEnergyCons!D$3:D$1000)</f>
        <v>0.16298981065306656</v>
      </c>
      <c r="G1514" s="1" cm="1">
        <f t="array" ref="G1514">SUMPRODUCT(("T_TW-icegsl-S3"=[1]OUT_TransportEnergyCons!$A$3:$A$1000)*1,("Var_Fin"=[1]OUT_TransportEnergyCons!$B$3:$B$1000)*1,ISNUMBER(SEARCH("gsl",[1]OUT_TransportEnergyCons!$C$3:$C$1000))*1,[1]OUT_TransportEnergyCons!E$3:E$1000)</f>
        <v>0.19776259209326394</v>
      </c>
      <c r="H1514" s="1" cm="1">
        <f t="array" ref="H1514">SUMPRODUCT(("T_TW-icegsl-S3"=[1]OUT_TransportEnergyCons!$A$3:$A$1000)*1,("Var_Fin"=[1]OUT_TransportEnergyCons!$B$3:$B$1000)*1,ISNUMBER(SEARCH("gsl",[1]OUT_TransportEnergyCons!$C$3:$C$1000))*1,[1]OUT_TransportEnergyCons!F$3:F$1000)</f>
        <v>0.20106215126693494</v>
      </c>
      <c r="I1514" s="1" cm="1">
        <f t="array" ref="I1514">SUMPRODUCT(("T_TW-icegsl-S3"=[1]OUT_TransportEnergyCons!$A$3:$A$1000)*1,("Var_Fin"=[1]OUT_TransportEnergyCons!$B$3:$B$1000)*1,ISNUMBER(SEARCH("gsl",[1]OUT_TransportEnergyCons!$C$3:$C$1000))*1,[1]OUT_TransportEnergyCons!G$3:G$1000)</f>
        <v>0.19723778468321249</v>
      </c>
      <c r="J1514" s="1" cm="1">
        <f t="array" ref="J1514">SUMPRODUCT(("T_TW-icegsl-S3"=[1]OUT_TransportEnergyCons!$A$3:$A$1000)*1,("Var_Fin"=[1]OUT_TransportEnergyCons!$B$3:$B$1000)*1,ISNUMBER(SEARCH("gsl",[1]OUT_TransportEnergyCons!$C$3:$C$1000))*1,[1]OUT_TransportEnergyCons!H$3:H$1000)</f>
        <v>4.6238294303513859E-2</v>
      </c>
      <c r="K1514" s="1" cm="1">
        <f t="array" ref="K1514">SUMPRODUCT(("T_TW-icegsl-S3"=[1]OUT_TransportEnergyCons!$A$3:$A$1000)*1,("Var_Fin"=[1]OUT_TransportEnergyCons!$B$3:$B$1000)*1,ISNUMBER(SEARCH("gsl",[1]OUT_TransportEnergyCons!$C$3:$C$1000))*1,[1]OUT_TransportEnergyCons!I$3:I$1000)</f>
        <v>3.3598186772357215E-4</v>
      </c>
    </row>
    <row r="1515" spans="2:11" x14ac:dyDescent="0.35">
      <c r="B1515" t="str">
        <f t="shared" si="888"/>
        <v>SPS4</v>
      </c>
      <c r="C1515" t="str">
        <f t="shared" si="936"/>
        <v>CH</v>
      </c>
      <c r="D1515" t="s">
        <v>1582</v>
      </c>
      <c r="E1515" t="str">
        <f t="shared" si="945"/>
        <v>PJ/yr.</v>
      </c>
      <c r="F1515" s="1" cm="1">
        <f t="array" ref="F1515">SUMPRODUCT(("T_TW-icegsl-S4"=[1]OUT_TransportEnergyCons!$A$3:$A$1000)*1,("Var_Fin"=[1]OUT_TransportEnergyCons!$B$3:$B$1000)*1,ISNUMBER(SEARCH("gsl",[1]OUT_TransportEnergyCons!$C$3:$C$1000))*1,[1]OUT_TransportEnergyCons!D$3:D$1000)</f>
        <v>0.10625749420942042</v>
      </c>
      <c r="G1515" s="1" cm="1">
        <f t="array" ref="G1515">SUMPRODUCT(("T_TW-icegsl-S4"=[1]OUT_TransportEnergyCons!$A$3:$A$1000)*1,("Var_Fin"=[1]OUT_TransportEnergyCons!$B$3:$B$1000)*1,ISNUMBER(SEARCH("gsl",[1]OUT_TransportEnergyCons!$C$3:$C$1000))*1,[1]OUT_TransportEnergyCons!E$3:E$1000)</f>
        <v>0.12618768661023799</v>
      </c>
      <c r="H1515" s="1" cm="1">
        <f t="array" ref="H1515">SUMPRODUCT(("T_TW-icegsl-S4"=[1]OUT_TransportEnergyCons!$A$3:$A$1000)*1,("Var_Fin"=[1]OUT_TransportEnergyCons!$B$3:$B$1000)*1,ISNUMBER(SEARCH("gsl",[1]OUT_TransportEnergyCons!$C$3:$C$1000))*1,[1]OUT_TransportEnergyCons!F$3:F$1000)</f>
        <v>0.12828325750362432</v>
      </c>
      <c r="I1515" s="1" cm="1">
        <f t="array" ref="I1515">SUMPRODUCT(("T_TW-icegsl-S4"=[1]OUT_TransportEnergyCons!$A$3:$A$1000)*1,("Var_Fin"=[1]OUT_TransportEnergyCons!$B$3:$B$1000)*1,ISNUMBER(SEARCH("gsl",[1]OUT_TransportEnergyCons!$C$3:$C$1000))*1,[1]OUT_TransportEnergyCons!G$3:G$1000)</f>
        <v>0.12615053139394339</v>
      </c>
      <c r="J1515" s="1" cm="1">
        <f t="array" ref="J1515">SUMPRODUCT(("T_TW-icegsl-S4"=[1]OUT_TransportEnergyCons!$A$3:$A$1000)*1,("Var_Fin"=[1]OUT_TransportEnergyCons!$B$3:$B$1000)*1,ISNUMBER(SEARCH("gsl",[1]OUT_TransportEnergyCons!$C$3:$C$1000))*1,[1]OUT_TransportEnergyCons!H$3:H$1000)</f>
        <v>0.11462379778174631</v>
      </c>
      <c r="K1515" s="1" cm="1">
        <f t="array" ref="K1515">SUMPRODUCT(("T_TW-icegsl-S4"=[1]OUT_TransportEnergyCons!$A$3:$A$1000)*1,("Var_Fin"=[1]OUT_TransportEnergyCons!$B$3:$B$1000)*1,ISNUMBER(SEARCH("gsl",[1]OUT_TransportEnergyCons!$C$3:$C$1000))*1,[1]OUT_TransportEnergyCons!I$3:I$1000)</f>
        <v>7.1390102504179419E-3</v>
      </c>
    </row>
    <row r="1516" spans="2:11" x14ac:dyDescent="0.35">
      <c r="B1516" s="9" t="str">
        <f t="shared" si="888"/>
        <v>SPS4</v>
      </c>
      <c r="C1516" s="9" t="str">
        <f t="shared" si="936"/>
        <v>CH</v>
      </c>
      <c r="D1516" s="2" t="s">
        <v>1504</v>
      </c>
      <c r="E1516" s="2" t="s">
        <v>1518</v>
      </c>
      <c r="F1516" s="3" t="e">
        <f>SUM(#REF!,#REF!,#REF!)</f>
        <v>#REF!</v>
      </c>
      <c r="G1516" s="3" t="e">
        <f>SUM(#REF!,#REF!,#REF!)</f>
        <v>#REF!</v>
      </c>
      <c r="H1516" s="3" t="e">
        <f>SUM(#REF!,#REF!,#REF!)</f>
        <v>#REF!</v>
      </c>
      <c r="I1516" s="3" t="e">
        <f>SUM(#REF!,#REF!,#REF!)</f>
        <v>#REF!</v>
      </c>
      <c r="J1516" s="3" t="e">
        <f>SUM(#REF!,#REF!,#REF!)</f>
        <v>#REF!</v>
      </c>
      <c r="K1516" s="3" t="e">
        <f>SUM(#REF!,#REF!,#REF!)</f>
        <v>#REF!</v>
      </c>
    </row>
    <row r="1517" spans="2:11" x14ac:dyDescent="0.35">
      <c r="B1517" t="str">
        <f t="shared" si="888"/>
        <v>SPS4</v>
      </c>
      <c r="C1517" t="str">
        <f>C1516</f>
        <v>CH</v>
      </c>
      <c r="D1517" t="s">
        <v>1505</v>
      </c>
      <c r="E1517" t="str">
        <f>E1516</f>
        <v>Billion km/yr.</v>
      </c>
      <c r="F1517" s="1" cm="1">
        <f t="array" ref="F1517">SUMPRODUCT(("T_TW-BEVELC-S1"=[1]OUT_TransportEnergyCons!$A$3:$A$1000)*1,("var_fout"=[1]OUT_TransportEnergyCons!$B$3:$B$1000)*1,ISNUMBER(SEARCH("TPTWL",[1]OUT_TransportEnergyCons!$C$3:$C$1000))*1,[1]OUT_TransportEnergyCons!D$3:D$1000)</f>
        <v>1.7324154593775103E-2</v>
      </c>
      <c r="G1517" s="1" cm="1">
        <f t="array" ref="G1517">SUMPRODUCT(("T_TW-BEVELC-S1"=[1]OUT_TransportEnergyCons!$A$3:$A$1000)*1,("var_fout"=[1]OUT_TransportEnergyCons!$B$3:$B$1000)*1,ISNUMBER(SEARCH("TPTWL",[1]OUT_TransportEnergyCons!$C$3:$C$1000))*1,[1]OUT_TransportEnergyCons!E$3:E$1000)</f>
        <v>2.3789600907635676E-2</v>
      </c>
      <c r="H1517" s="1" cm="1">
        <f t="array" ref="H1517">SUMPRODUCT(("T_TW-BEVELC-S1"=[1]OUT_TransportEnergyCons!$A$3:$A$1000)*1,("var_fout"=[1]OUT_TransportEnergyCons!$B$3:$B$1000)*1,ISNUMBER(SEARCH("TPTWL",[1]OUT_TransportEnergyCons!$C$3:$C$1000))*1,[1]OUT_TransportEnergyCons!F$3:F$1000)</f>
        <v>2.4291233778880109E-2</v>
      </c>
      <c r="I1517" s="1" cm="1">
        <f t="array" ref="I1517">SUMPRODUCT(("T_TW-BEVELC-S1"=[1]OUT_TransportEnergyCons!$A$3:$A$1000)*1,("var_fout"=[1]OUT_TransportEnergyCons!$B$3:$B$1000)*1,ISNUMBER(SEARCH("TPTWL",[1]OUT_TransportEnergyCons!$C$3:$C$1000))*1,[1]OUT_TransportEnergyCons!G$3:G$1000)</f>
        <v>1.697578943683397E-2</v>
      </c>
      <c r="J1517" s="1" cm="1">
        <f t="array" ref="J1517">SUMPRODUCT(("T_TW-BEVELC-S1"=[1]OUT_TransportEnergyCons!$A$3:$A$1000)*1,("var_fout"=[1]OUT_TransportEnergyCons!$B$3:$B$1000)*1,ISNUMBER(SEARCH("TPTWL",[1]OUT_TransportEnergyCons!$C$3:$C$1000))*1,[1]OUT_TransportEnergyCons!H$3:H$1000)</f>
        <v>3.6949608237289685E-3</v>
      </c>
      <c r="K1517" s="1" cm="1">
        <f t="array" ref="K1517">SUMPRODUCT(("T_TW-BEVELC-S1"=[1]OUT_TransportEnergyCons!$A$3:$A$1000)*1,("var_fout"=[1]OUT_TransportEnergyCons!$B$3:$B$1000)*1,ISNUMBER(SEARCH("TPTWL",[1]OUT_TransportEnergyCons!$C$3:$C$1000))*1,[1]OUT_TransportEnergyCons!I$3:I$1000)</f>
        <v>2.202304203665296E-3</v>
      </c>
    </row>
    <row r="1518" spans="2:11" x14ac:dyDescent="0.35">
      <c r="B1518" t="str">
        <f t="shared" si="888"/>
        <v>SPS4</v>
      </c>
      <c r="C1518" t="str">
        <f t="shared" ref="C1518:C1543" si="946">C1517</f>
        <v>CH</v>
      </c>
      <c r="D1518" t="s">
        <v>1506</v>
      </c>
      <c r="E1518" t="str">
        <f t="shared" ref="E1518:E1529" si="947">E1517</f>
        <v>Billion km/yr.</v>
      </c>
      <c r="F1518" s="1" cm="1">
        <f t="array" ref="F1518">SUMPRODUCT(("T_TW-BEVELC-S2"=[1]OUT_TransportEnergyCons!$A$3:$A$1000)*1,("var_fout"=[1]OUT_TransportEnergyCons!$B$3:$B$1000)*1,ISNUMBER(SEARCH("TPTWL",[1]OUT_TransportEnergyCons!$C$3:$C$1000))*1,[1]OUT_TransportEnergyCons!D$3:D$1000)</f>
        <v>2.2272683015053508E-3</v>
      </c>
      <c r="G1518" s="1" cm="1">
        <f t="array" ref="G1518">SUMPRODUCT(("T_TW-BEVELC-S2"=[1]OUT_TransportEnergyCons!$A$3:$A$1000)*1,("var_fout"=[1]OUT_TransportEnergyCons!$B$3:$B$1000)*1,ISNUMBER(SEARCH("TPTWL",[1]OUT_TransportEnergyCons!$C$3:$C$1000))*1,[1]OUT_TransportEnergyCons!E$3:E$1000)</f>
        <v>2.9384917206692189E-3</v>
      </c>
      <c r="H1518" s="1" cm="1">
        <f t="array" ref="H1518">SUMPRODUCT(("T_TW-BEVELC-S2"=[1]OUT_TransportEnergyCons!$A$3:$A$1000)*1,("var_fout"=[1]OUT_TransportEnergyCons!$B$3:$B$1000)*1,ISNUMBER(SEARCH("TPTWL",[1]OUT_TransportEnergyCons!$C$3:$C$1000))*1,[1]OUT_TransportEnergyCons!F$3:F$1000)</f>
        <v>3.0874075373280695E-3</v>
      </c>
      <c r="I1518" s="1" cm="1">
        <f t="array" ref="I1518">SUMPRODUCT(("T_TW-BEVELC-S2"=[1]OUT_TransportEnergyCons!$A$3:$A$1000)*1,("var_fout"=[1]OUT_TransportEnergyCons!$B$3:$B$1000)*1,ISNUMBER(SEARCH("TPTWL",[1]OUT_TransportEnergyCons!$C$3:$C$1000))*1,[1]OUT_TransportEnergyCons!G$3:G$1000)</f>
        <v>2.779815439590343E-3</v>
      </c>
      <c r="J1518" s="1" cm="1">
        <f t="array" ref="J1518">SUMPRODUCT(("T_TW-BEVELC-S2"=[1]OUT_TransportEnergyCons!$A$3:$A$1000)*1,("var_fout"=[1]OUT_TransportEnergyCons!$B$3:$B$1000)*1,ISNUMBER(SEARCH("TPTWL",[1]OUT_TransportEnergyCons!$C$3:$C$1000))*1,[1]OUT_TransportEnergyCons!H$3:H$1000)</f>
        <v>9.9053883241816674E-4</v>
      </c>
      <c r="K1518" s="1" cm="1">
        <f t="array" ref="K1518">SUMPRODUCT(("T_TW-BEVELC-S2"=[1]OUT_TransportEnergyCons!$A$3:$A$1000)*1,("var_fout"=[1]OUT_TransportEnergyCons!$B$3:$B$1000)*1,ISNUMBER(SEARCH("TPTWL",[1]OUT_TransportEnergyCons!$C$3:$C$1000))*1,[1]OUT_TransportEnergyCons!I$3:I$1000)</f>
        <v>6.4165993088022017E-4</v>
      </c>
    </row>
    <row r="1519" spans="2:11" x14ac:dyDescent="0.35">
      <c r="B1519" t="str">
        <f t="shared" si="888"/>
        <v>SPS4</v>
      </c>
      <c r="C1519" t="str">
        <f t="shared" si="946"/>
        <v>CH</v>
      </c>
      <c r="D1519" t="s">
        <v>1507</v>
      </c>
      <c r="E1519" t="str">
        <f t="shared" si="947"/>
        <v>Billion km/yr.</v>
      </c>
      <c r="F1519" s="1" cm="1">
        <f t="array" ref="F1519">SUMPRODUCT(("T_TW-BEVELC-S3"=[1]OUT_TransportEnergyCons!$A$3:$A$1000)*1,("var_fout"=[1]OUT_TransportEnergyCons!$B$3:$B$1000)*1,ISNUMBER(SEARCH("TPTWL",[1]OUT_TransportEnergyCons!$C$3:$C$1000))*1,[1]OUT_TransportEnergyCons!D$3:D$1000)</f>
        <v>3.3805266967379963E-4</v>
      </c>
      <c r="G1519" s="1" cm="1">
        <f t="array" ref="G1519">SUMPRODUCT(("T_TW-BEVELC-S3"=[1]OUT_TransportEnergyCons!$A$3:$A$1000)*1,("var_fout"=[1]OUT_TransportEnergyCons!$B$3:$B$1000)*1,ISNUMBER(SEARCH("TPTWL",[1]OUT_TransportEnergyCons!$C$3:$C$1000))*1,[1]OUT_TransportEnergyCons!E$3:E$1000)</f>
        <v>6.4150252748769617E-4</v>
      </c>
      <c r="H1519" s="1" cm="1">
        <f t="array" ref="H1519">SUMPRODUCT(("T_TW-BEVELC-S3"=[1]OUT_TransportEnergyCons!$A$3:$A$1000)*1,("var_fout"=[1]OUT_TransportEnergyCons!$B$3:$B$1000)*1,ISNUMBER(SEARCH("TPTWL",[1]OUT_TransportEnergyCons!$C$3:$C$1000))*1,[1]OUT_TransportEnergyCons!F$3:F$1000)</f>
        <v>7.493917042327218E-4</v>
      </c>
      <c r="I1519" s="1" cm="1">
        <f t="array" ref="I1519">SUMPRODUCT(("T_TW-BEVELC-S3"=[1]OUT_TransportEnergyCons!$A$3:$A$1000)*1,("var_fout"=[1]OUT_TransportEnergyCons!$B$3:$B$1000)*1,ISNUMBER(SEARCH("TPTWL",[1]OUT_TransportEnergyCons!$C$3:$C$1000))*1,[1]OUT_TransportEnergyCons!G$3:G$1000)</f>
        <v>8.4165755619306068E-4</v>
      </c>
      <c r="J1519" s="1" cm="1">
        <f t="array" ref="J1519">SUMPRODUCT(("T_TW-BEVELC-S3"=[1]OUT_TransportEnergyCons!$A$3:$A$1000)*1,("var_fout"=[1]OUT_TransportEnergyCons!$B$3:$B$1000)*1,ISNUMBER(SEARCH("TPTWL",[1]OUT_TransportEnergyCons!$C$3:$C$1000))*1,[1]OUT_TransportEnergyCons!H$3:H$1000)</f>
        <v>7.3411263666907844E-4</v>
      </c>
      <c r="K1519" s="1" cm="1">
        <f t="array" ref="K1519">SUMPRODUCT(("T_TW-BEVELC-S3"=[1]OUT_TransportEnergyCons!$A$3:$A$1000)*1,("var_fout"=[1]OUT_TransportEnergyCons!$B$3:$B$1000)*1,ISNUMBER(SEARCH("TPTWL",[1]OUT_TransportEnergyCons!$C$3:$C$1000))*1,[1]OUT_TransportEnergyCons!I$3:I$1000)</f>
        <v>3.6119125209073421E-4</v>
      </c>
    </row>
    <row r="1520" spans="2:11" x14ac:dyDescent="0.35">
      <c r="B1520" t="str">
        <f t="shared" si="888"/>
        <v>SPS4</v>
      </c>
      <c r="C1520" t="str">
        <f t="shared" si="946"/>
        <v>CH</v>
      </c>
      <c r="D1520" t="s">
        <v>1508</v>
      </c>
      <c r="E1520" t="str">
        <f t="shared" si="947"/>
        <v>Billion km/yr.</v>
      </c>
      <c r="F1520" s="1" cm="1">
        <f t="array" ref="F1520">SUMPRODUCT(("T_TW-BEVELC-S4"=[1]OUT_TransportEnergyCons!$A$3:$A$1000)*1,("var_fout"=[1]OUT_TransportEnergyCons!$B$3:$B$1000)*1,ISNUMBER(SEARCH("TPTWL",[1]OUT_TransportEnergyCons!$C$3:$C$1000))*1,[1]OUT_TransportEnergyCons!D$3:D$1000)</f>
        <v>2.0505717850291679E-4</v>
      </c>
      <c r="G1520" s="1" cm="1">
        <f t="array" ref="G1520">SUMPRODUCT(("T_TW-BEVELC-S4"=[1]OUT_TransportEnergyCons!$A$3:$A$1000)*1,("var_fout"=[1]OUT_TransportEnergyCons!$B$3:$B$1000)*1,ISNUMBER(SEARCH("TPTWL",[1]OUT_TransportEnergyCons!$C$3:$C$1000))*1,[1]OUT_TransportEnergyCons!E$3:E$1000)</f>
        <v>4.039904676953273E-4</v>
      </c>
      <c r="H1520" s="1" cm="1">
        <f t="array" ref="H1520">SUMPRODUCT(("T_TW-BEVELC-S4"=[1]OUT_TransportEnergyCons!$A$3:$A$1000)*1,("var_fout"=[1]OUT_TransportEnergyCons!$B$3:$B$1000)*1,ISNUMBER(SEARCH("TPTWL",[1]OUT_TransportEnergyCons!$C$3:$C$1000))*1,[1]OUT_TransportEnergyCons!F$3:F$1000)</f>
        <v>5.4221636047626189E-4</v>
      </c>
      <c r="I1520" s="1" cm="1">
        <f t="array" ref="I1520">SUMPRODUCT(("T_TW-BEVELC-S4"=[1]OUT_TransportEnergyCons!$A$3:$A$1000)*1,("var_fout"=[1]OUT_TransportEnergyCons!$B$3:$B$1000)*1,ISNUMBER(SEARCH("TPTWL",[1]OUT_TransportEnergyCons!$C$3:$C$1000))*1,[1]OUT_TransportEnergyCons!G$3:G$1000)</f>
        <v>6.3249473373659226E-4</v>
      </c>
      <c r="J1520" s="1" cm="1">
        <f t="array" ref="J1520">SUMPRODUCT(("T_TW-BEVELC-S4"=[1]OUT_TransportEnergyCons!$A$3:$A$1000)*1,("var_fout"=[1]OUT_TransportEnergyCons!$B$3:$B$1000)*1,ISNUMBER(SEARCH("TPTWL",[1]OUT_TransportEnergyCons!$C$3:$C$1000))*1,[1]OUT_TransportEnergyCons!H$3:H$1000)</f>
        <v>9.1767736768173899E-4</v>
      </c>
      <c r="K1520" s="1" cm="1">
        <f t="array" ref="K1520">SUMPRODUCT(("T_TW-BEVELC-S4"=[1]OUT_TransportEnergyCons!$A$3:$A$1000)*1,("var_fout"=[1]OUT_TransportEnergyCons!$B$3:$B$1000)*1,ISNUMBER(SEARCH("TPTWL",[1]OUT_TransportEnergyCons!$C$3:$C$1000))*1,[1]OUT_TransportEnergyCons!I$3:I$1000)</f>
        <v>5.6971204673275948E-4</v>
      </c>
    </row>
    <row r="1521" spans="2:11" x14ac:dyDescent="0.35">
      <c r="B1521" t="str">
        <f t="shared" si="888"/>
        <v>SPS4</v>
      </c>
      <c r="C1521" t="str">
        <f t="shared" si="946"/>
        <v>CH</v>
      </c>
      <c r="D1521" t="s">
        <v>1509</v>
      </c>
      <c r="E1521" t="str">
        <f t="shared" si="947"/>
        <v>Billion km/yr.</v>
      </c>
      <c r="F1521" s="1" cm="1">
        <f t="array" ref="F1521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1" s="1" cm="1">
        <f t="array" ref="G1521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1" s="1" cm="1">
        <f t="array" ref="H1521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1" s="1" cm="1">
        <f t="array" ref="I1521">SUMPRODUCT(("T_TW-fclh2o-S1"=[1]OUT_TransportEnergyCons!$A$3:$A$1000)*1,("var_fout"=[1]OUT_TransportEnergyCons!$B$3:$B$1000)*1,ISNUMBER(SEARCH("TPTWL",[1]OUT_TransportEnergyCons!$C$3:$C$1000))*1,[1]OUT_TransportEnergyCons!G$3:G$1000)</f>
        <v>1.489227830010475E-4</v>
      </c>
      <c r="J1521" s="1" cm="1">
        <f t="array" ref="J1521">SUMPRODUCT(("T_TW-fclh2o-S1"=[1]OUT_TransportEnergyCons!$A$3:$A$1000)*1,("var_fout"=[1]OUT_TransportEnergyCons!$B$3:$B$1000)*1,ISNUMBER(SEARCH("TPTWL",[1]OUT_TransportEnergyCons!$C$3:$C$1000))*1,[1]OUT_TransportEnergyCons!H$3:H$1000)</f>
        <v>5.1169678310258328E-4</v>
      </c>
      <c r="K1521" s="1" cm="1">
        <f t="array" ref="K1521">SUMPRODUCT(("T_TW-fclh2o-S1"=[1]OUT_TransportEnergyCons!$A$3:$A$1000)*1,("var_fout"=[1]OUT_TransportEnergyCons!$B$3:$B$1000)*1,ISNUMBER(SEARCH("TPTWL",[1]OUT_TransportEnergyCons!$C$3:$C$1000))*1,[1]OUT_TransportEnergyCons!I$3:I$1000)</f>
        <v>3.5709543941901418E-4</v>
      </c>
    </row>
    <row r="1522" spans="2:11" x14ac:dyDescent="0.35">
      <c r="B1522" t="str">
        <f t="shared" si="888"/>
        <v>SPS4</v>
      </c>
      <c r="C1522" t="str">
        <f t="shared" si="946"/>
        <v>CH</v>
      </c>
      <c r="D1522" t="s">
        <v>1510</v>
      </c>
      <c r="E1522" t="str">
        <f t="shared" si="947"/>
        <v>Billion km/yr.</v>
      </c>
      <c r="F1522" s="1" cm="1">
        <f t="array" ref="F1522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2" s="1" cm="1">
        <f t="array" ref="G1522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2" s="1" cm="1">
        <f t="array" ref="H1522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2" s="1" cm="1">
        <f t="array" ref="I1522">SUMPRODUCT(("T_TW-fclh2o-S2"=[1]OUT_TransportEnergyCons!$A$3:$A$1000)*1,("var_fout"=[1]OUT_TransportEnergyCons!$B$3:$B$1000)*1,ISNUMBER(SEARCH("TPTWL",[1]OUT_TransportEnergyCons!$C$3:$C$1000))*1,[1]OUT_TransportEnergyCons!G$3:G$1000)</f>
        <v>7.7481059536085696E-5</v>
      </c>
      <c r="J1522" s="1" cm="1">
        <f t="array" ref="J1522">SUMPRODUCT(("T_TW-fclh2o-S2"=[1]OUT_TransportEnergyCons!$A$3:$A$1000)*1,("var_fout"=[1]OUT_TransportEnergyCons!$B$3:$B$1000)*1,ISNUMBER(SEARCH("TPTWL",[1]OUT_TransportEnergyCons!$C$3:$C$1000))*1,[1]OUT_TransportEnergyCons!H$3:H$1000)</f>
        <v>2.5786107801047521E-4</v>
      </c>
      <c r="K1522" s="1" cm="1">
        <f t="array" ref="K1522">SUMPRODUCT(("T_TW-fclh2o-S2"=[1]OUT_TransportEnergyCons!$A$3:$A$1000)*1,("var_fout"=[1]OUT_TransportEnergyCons!$B$3:$B$1000)*1,ISNUMBER(SEARCH("TPTWL",[1]OUT_TransportEnergyCons!$C$3:$C$1000))*1,[1]OUT_TransportEnergyCons!I$3:I$1000)</f>
        <v>1.8819031753729599E-4</v>
      </c>
    </row>
    <row r="1523" spans="2:11" x14ac:dyDescent="0.35">
      <c r="B1523" t="str">
        <f t="shared" si="888"/>
        <v>SPS4</v>
      </c>
      <c r="C1523" t="str">
        <f t="shared" si="946"/>
        <v>CH</v>
      </c>
      <c r="D1523" t="s">
        <v>1511</v>
      </c>
      <c r="E1523" t="str">
        <f t="shared" si="947"/>
        <v>Billion km/yr.</v>
      </c>
      <c r="F1523" s="1" cm="1">
        <f t="array" ref="F1523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SUMPRODUCT(("T_TW-fclh2o-S3"=[1]OUT_TransportEnergyCons!$A$3:$A$1000)*1,("var_fout"=[1]OUT_TransportEnergyCons!$B$3:$B$1000)*1,ISNUMBER(SEARCH("TPTWL",[1]OUT_TransportEnergyCons!$C$3:$C$1000))*1,[1]OUT_TransportEnergyCons!G$3:G$1000)</f>
        <v>4.5105753306597882E-5</v>
      </c>
      <c r="J1523" s="1" cm="1">
        <f t="array" ref="J1523">SUMPRODUCT(("T_TW-fclh2o-S3"=[1]OUT_TransportEnergyCons!$A$3:$A$1000)*1,("var_fout"=[1]OUT_TransportEnergyCons!$B$3:$B$1000)*1,ISNUMBER(SEARCH("TPTWL",[1]OUT_TransportEnergyCons!$C$3:$C$1000))*1,[1]OUT_TransportEnergyCons!H$3:H$1000)</f>
        <v>1.4091016308342773E-4</v>
      </c>
      <c r="K1523" s="1" cm="1">
        <f t="array" ref="K1523">SUMPRODUCT(("T_TW-fclh2o-S3"=[1]OUT_TransportEnergyCons!$A$3:$A$1000)*1,("var_fout"=[1]OUT_TransportEnergyCons!$B$3:$B$1000)*1,ISNUMBER(SEARCH("TPTWL",[1]OUT_TransportEnergyCons!$C$3:$C$1000))*1,[1]OUT_TransportEnergyCons!I$3:I$1000)</f>
        <v>1.4125624807552096E-4</v>
      </c>
    </row>
    <row r="1524" spans="2:11" x14ac:dyDescent="0.35">
      <c r="B1524" t="str">
        <f t="shared" ref="B1524:B1587" si="948">B1523</f>
        <v>SPS4</v>
      </c>
      <c r="C1524" t="str">
        <f t="shared" si="946"/>
        <v>CH</v>
      </c>
      <c r="D1524" t="s">
        <v>1512</v>
      </c>
      <c r="E1524" t="str">
        <f t="shared" si="947"/>
        <v>Billion km/yr.</v>
      </c>
      <c r="F1524" s="1" cm="1">
        <f t="array" ref="F1524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SUMPRODUCT(("T_TW-fclh2o-S4"=[1]OUT_TransportEnergyCons!$A$3:$A$1000)*1,("var_fout"=[1]OUT_TransportEnergyCons!$B$3:$B$1000)*1,ISNUMBER(SEARCH("TPTWL",[1]OUT_TransportEnergyCons!$C$3:$C$1000))*1,[1]OUT_TransportEnergyCons!G$3:G$1000)</f>
        <v>2.2434250734015767E-5</v>
      </c>
      <c r="J1524" s="1" cm="1">
        <f t="array" ref="J1524">SUMPRODUCT(("T_TW-fclh2o-S4"=[1]OUT_TransportEnergyCons!$A$3:$A$1000)*1,("var_fout"=[1]OUT_TransportEnergyCons!$B$3:$B$1000)*1,ISNUMBER(SEARCH("TPTWL",[1]OUT_TransportEnergyCons!$C$3:$C$1000))*1,[1]OUT_TransportEnergyCons!H$3:H$1000)</f>
        <v>7.474092634203626E-5</v>
      </c>
      <c r="K1524" s="1" cm="1">
        <f t="array" ref="K1524">SUMPRODUCT(("T_TW-fclh2o-S4"=[1]OUT_TransportEnergyCons!$A$3:$A$1000)*1,("var_fout"=[1]OUT_TransportEnergyCons!$B$3:$B$1000)*1,ISNUMBER(SEARCH("TPTWL",[1]OUT_TransportEnergyCons!$C$3:$C$1000))*1,[1]OUT_TransportEnergyCons!I$3:I$1000)</f>
        <v>9.1285307993607836E-5</v>
      </c>
    </row>
    <row r="1525" spans="2:11" x14ac:dyDescent="0.35">
      <c r="B1525" t="str">
        <f t="shared" si="948"/>
        <v>SPS4</v>
      </c>
      <c r="C1525" t="str">
        <f t="shared" si="946"/>
        <v>CH</v>
      </c>
      <c r="D1525" t="s">
        <v>1513</v>
      </c>
      <c r="E1525" t="str">
        <f t="shared" si="947"/>
        <v>Billion km/yr.</v>
      </c>
      <c r="F1525" s="1" cm="1">
        <f t="array" ref="F1525">SUMPRODUCT(("T_TW-ICEGSLEXT"=[1]OUT_TransportEnergyCons!$A$3:$A$1000)*1,("var_fout"=[1]OUT_TransportEnergyCons!$B$3:$B$1000)*1,ISNUMBER(SEARCH("TPTWL",[1]OUT_TransportEnergyCons!$C$3:$C$1000))*1,[1]OUT_TransportEnergyCons!D$3:D$1000)</f>
        <v>1.5303640141213577</v>
      </c>
      <c r="G1525" s="1" cm="1">
        <f t="array" ref="G1525">SUMPRODUCT(("T_TW-ICEGSLEXT"=[1]OUT_TransportEnergyCons!$A$3:$A$1000)*1,("var_fout"=[1]OUT_TransportEnergyCons!$B$3:$B$1000)*1,ISNUMBER(SEARCH("TPTWL",[1]OUT_TransportEnergyCons!$C$3:$C$1000))*1,[1]OUT_TransportEnergyCons!E$3:E$1000)</f>
        <v>1.178674902568202</v>
      </c>
      <c r="H1525" s="1" cm="1">
        <f t="array" ref="H1525">SUMPRODUCT(("T_TW-ICEGSLEXT"=[1]OUT_TransportEnergyCons!$A$3:$A$1000)*1,("var_fout"=[1]OUT_TransportEnergyCons!$B$3:$B$1000)*1,ISNUMBER(SEARCH("TPTWL",[1]OUT_TransportEnergyCons!$C$3:$C$1000))*1,[1]OUT_TransportEnergyCons!F$3:F$1000)</f>
        <v>0.84298391023514541</v>
      </c>
      <c r="I1525" s="1" cm="1">
        <f t="array" ref="I1525">SUMPRODUCT(("T_TW-ICEGSLEXT"=[1]OUT_TransportEnergyCons!$A$3:$A$1000)*1,("var_fout"=[1]OUT_TransportEnergyCons!$B$3:$B$1000)*1,ISNUMBER(SEARCH("TPTWL",[1]OUT_TransportEnergyCons!$C$3:$C$1000))*1,[1]OUT_TransportEnergyCons!G$3:G$1000)</f>
        <v>0.38587239345982649</v>
      </c>
      <c r="J1525" s="1" cm="1">
        <f t="array" ref="J1525">SUMPRODUCT(("T_TW-ICEGSLEXT"=[1]OUT_TransportEnergyCons!$A$3:$A$1000)*1,("var_fout"=[1]OUT_TransportEnergyCons!$B$3:$B$1000)*1,ISNUMBER(SEARCH("TPTWL",[1]OUT_TransportEnergyCons!$C$3:$C$1000))*1,[1]OUT_TransportEnergyCons!H$3:H$1000)</f>
        <v>0</v>
      </c>
      <c r="K1525" s="1" cm="1">
        <f t="array" ref="K1525">SUMPRODUCT(("T_TW-ICEGSLEXT"=[1]OUT_TransportEnergyCons!$A$3:$A$1000)*1,("var_fout"=[1]OUT_TransportEnergyCons!$B$3:$B$1000)*1,ISNUMBER(SEARCH("TPTWL",[1]OUT_TransportEnergyCons!$C$3:$C$1000))*1,[1]OUT_TransportEnergyCons!I$3:I$1000)</f>
        <v>0</v>
      </c>
    </row>
    <row r="1526" spans="2:11" x14ac:dyDescent="0.35">
      <c r="B1526" t="str">
        <f t="shared" si="948"/>
        <v>SPS4</v>
      </c>
      <c r="C1526" t="str">
        <f t="shared" si="946"/>
        <v>CH</v>
      </c>
      <c r="D1526" t="s">
        <v>1514</v>
      </c>
      <c r="E1526" t="str">
        <f t="shared" si="947"/>
        <v>Billion km/yr.</v>
      </c>
      <c r="F1526" s="1" cm="1">
        <f t="array" ref="F1526">SUMPRODUCT(("T_TW-icegsl-S1"=[1]OUT_TransportEnergyCons!$A$3:$A$1000)*1,("var_fout"=[1]OUT_TransportEnergyCons!$B$3:$B$1000)*1,ISNUMBER(SEARCH("TPTWL",[1]OUT_TransportEnergyCons!$C$3:$C$1000))*1,[1]OUT_TransportEnergyCons!D$3:D$1000)</f>
        <v>8.4378847830317169E-2</v>
      </c>
      <c r="G1526" s="1" cm="1">
        <f t="array" ref="G1526">SUMPRODUCT(("T_TW-icegsl-S1"=[1]OUT_TransportEnergyCons!$A$3:$A$1000)*1,("var_fout"=[1]OUT_TransportEnergyCons!$B$3:$B$1000)*1,ISNUMBER(SEARCH("TPTWL",[1]OUT_TransportEnergyCons!$C$3:$C$1000))*1,[1]OUT_TransportEnergyCons!E$3:E$1000)</f>
        <v>0.33521436797436949</v>
      </c>
      <c r="H1526" s="1" cm="1">
        <f t="array" ref="H1526">SUMPRODUCT(("T_TW-icegsl-S1"=[1]OUT_TransportEnergyCons!$A$3:$A$1000)*1,("var_fout"=[1]OUT_TransportEnergyCons!$B$3:$B$1000)*1,ISNUMBER(SEARCH("TPTWL",[1]OUT_TransportEnergyCons!$C$3:$C$1000))*1,[1]OUT_TransportEnergyCons!F$3:F$1000)</f>
        <v>0.66968896887924223</v>
      </c>
      <c r="I1526" s="1" cm="1">
        <f t="array" ref="I1526">SUMPRODUCT(("T_TW-icegsl-S1"=[1]OUT_TransportEnergyCons!$A$3:$A$1000)*1,("var_fout"=[1]OUT_TransportEnergyCons!$B$3:$B$1000)*1,ISNUMBER(SEARCH("TPTWL",[1]OUT_TransportEnergyCons!$C$3:$C$1000))*1,[1]OUT_TransportEnergyCons!G$3:G$1000)</f>
        <v>1.2112861873632981</v>
      </c>
      <c r="J1526" s="1" cm="1">
        <f t="array" ref="J1526">SUMPRODUCT(("T_TW-icegsl-S1"=[1]OUT_TransportEnergyCons!$A$3:$A$1000)*1,("var_fout"=[1]OUT_TransportEnergyCons!$B$3:$B$1000)*1,ISNUMBER(SEARCH("TPTWL",[1]OUT_TransportEnergyCons!$C$3:$C$1000))*1,[1]OUT_TransportEnergyCons!H$3:H$1000)</f>
        <v>1.8458656903434423</v>
      </c>
      <c r="K1526" s="1" cm="1">
        <f t="array" ref="K1526">SUMPRODUCT(("T_TW-icegsl-S1"=[1]OUT_TransportEnergyCons!$A$3:$A$1000)*1,("var_fout"=[1]OUT_TransportEnergyCons!$B$3:$B$1000)*1,ISNUMBER(SEARCH("TPTWL",[1]OUT_TransportEnergyCons!$C$3:$C$1000))*1,[1]OUT_TransportEnergyCons!I$3:I$1000)</f>
        <v>1.9028804387041438</v>
      </c>
    </row>
    <row r="1527" spans="2:11" x14ac:dyDescent="0.35">
      <c r="B1527" t="str">
        <f t="shared" si="948"/>
        <v>SPS4</v>
      </c>
      <c r="C1527" t="str">
        <f t="shared" si="946"/>
        <v>CH</v>
      </c>
      <c r="D1527" t="s">
        <v>1515</v>
      </c>
      <c r="E1527" t="str">
        <f t="shared" si="947"/>
        <v>Billion km/yr.</v>
      </c>
      <c r="F1527" s="1" cm="1">
        <f t="array" ref="F1527">SUMPRODUCT(("T_TW-icegsl-S2"=[1]OUT_TransportEnergyCons!$A$3:$A$1000)*1,("var_fout"=[1]OUT_TransportEnergyCons!$B$3:$B$1000)*1,ISNUMBER(SEARCH("TPTWL",[1]OUT_TransportEnergyCons!$C$3:$C$1000))*1,[1]OUT_TransportEnergyCons!D$3:D$1000)</f>
        <v>0.12363837979957865</v>
      </c>
      <c r="G1527" s="1" cm="1">
        <f t="array" ref="G1527">SUMPRODUCT(("T_TW-icegsl-S2"=[1]OUT_TransportEnergyCons!$A$3:$A$1000)*1,("var_fout"=[1]OUT_TransportEnergyCons!$B$3:$B$1000)*1,ISNUMBER(SEARCH("TPTWL",[1]OUT_TransportEnergyCons!$C$3:$C$1000))*1,[1]OUT_TransportEnergyCons!E$3:E$1000)</f>
        <v>0.18000536538325657</v>
      </c>
      <c r="H1527" s="1" cm="1">
        <f t="array" ref="H1527">SUMPRODUCT(("T_TW-icegsl-S2"=[1]OUT_TransportEnergyCons!$A$3:$A$1000)*1,("var_fout"=[1]OUT_TransportEnergyCons!$B$3:$B$1000)*1,ISNUMBER(SEARCH("TPTWL",[1]OUT_TransportEnergyCons!$C$3:$C$1000))*1,[1]OUT_TransportEnergyCons!F$3:F$1000)</f>
        <v>0.1800421012472356</v>
      </c>
      <c r="I1527" s="1" cm="1">
        <f t="array" ref="I1527">SUMPRODUCT(("T_TW-icegsl-S2"=[1]OUT_TransportEnergyCons!$A$3:$A$1000)*1,("var_fout"=[1]OUT_TransportEnergyCons!$B$3:$B$1000)*1,ISNUMBER(SEARCH("TPTWL",[1]OUT_TransportEnergyCons!$C$3:$C$1000))*1,[1]OUT_TransportEnergyCons!G$3:G$1000)</f>
        <v>0.11271313240600289</v>
      </c>
      <c r="J1527" s="1" cm="1">
        <f t="array" ref="J1527">SUMPRODUCT(("T_TW-icegsl-S2"=[1]OUT_TransportEnergyCons!$A$3:$A$1000)*1,("var_fout"=[1]OUT_TransportEnergyCons!$B$3:$B$1000)*1,ISNUMBER(SEARCH("TPTWL",[1]OUT_TransportEnergyCons!$C$3:$C$1000))*1,[1]OUT_TransportEnergyCons!H$3:H$1000)</f>
        <v>6.9481507343123982E-4</v>
      </c>
      <c r="K1527" s="1" cm="1">
        <f t="array" ref="K1527">SUMPRODUCT(("T_TW-icegsl-S2"=[1]OUT_TransportEnergyCons!$A$3:$A$1000)*1,("var_fout"=[1]OUT_TransportEnergyCons!$B$3:$B$1000)*1,ISNUMBER(SEARCH("TPTWL",[1]OUT_TransportEnergyCons!$C$3:$C$1000))*1,[1]OUT_TransportEnergyCons!I$3:I$1000)</f>
        <v>4.2584658090929827E-4</v>
      </c>
    </row>
    <row r="1528" spans="2:11" x14ac:dyDescent="0.35">
      <c r="B1528" t="str">
        <f t="shared" si="948"/>
        <v>SPS4</v>
      </c>
      <c r="C1528" t="str">
        <f t="shared" si="946"/>
        <v>CH</v>
      </c>
      <c r="D1528" t="s">
        <v>1516</v>
      </c>
      <c r="E1528" t="str">
        <f t="shared" si="947"/>
        <v>Billion km/yr.</v>
      </c>
      <c r="F1528" s="1" cm="1">
        <f t="array" ref="F1528">SUMPRODUCT(("T_TW-icegsl-S3"=[1]OUT_TransportEnergyCons!$A$3:$A$1000)*1,("var_fout"=[1]OUT_TransportEnergyCons!$B$3:$B$1000)*1,ISNUMBER(SEARCH("TPTWL",[1]OUT_TransportEnergyCons!$C$3:$C$1000))*1,[1]OUT_TransportEnergyCons!D$3:D$1000)</f>
        <v>0.11888916542656223</v>
      </c>
      <c r="G1528" s="1" cm="1">
        <f t="array" ref="G1528">SUMPRODUCT(("T_TW-icegsl-S3"=[1]OUT_TransportEnergyCons!$A$3:$A$1000)*1,("var_fout"=[1]OUT_TransportEnergyCons!$B$3:$B$1000)*1,ISNUMBER(SEARCH("TPTWL",[1]OUT_TransportEnergyCons!$C$3:$C$1000))*1,[1]OUT_TransportEnergyCons!E$3:E$1000)</f>
        <v>0.1444010915620435</v>
      </c>
      <c r="H1528" s="1" cm="1">
        <f t="array" ref="H1528">SUMPRODUCT(("T_TW-icegsl-S3"=[1]OUT_TransportEnergyCons!$A$3:$A$1000)*1,("var_fout"=[1]OUT_TransportEnergyCons!$B$3:$B$1000)*1,ISNUMBER(SEARCH("TPTWL",[1]OUT_TransportEnergyCons!$C$3:$C$1000))*1,[1]OUT_TransportEnergyCons!F$3:F$1000)</f>
        <v>0.1468124129199288</v>
      </c>
      <c r="I1528" s="1" cm="1">
        <f t="array" ref="I1528">SUMPRODUCT(("T_TW-icegsl-S3"=[1]OUT_TransportEnergyCons!$A$3:$A$1000)*1,("var_fout"=[1]OUT_TransportEnergyCons!$B$3:$B$1000)*1,ISNUMBER(SEARCH("TPTWL",[1]OUT_TransportEnergyCons!$C$3:$C$1000))*1,[1]OUT_TransportEnergyCons!G$3:G$1000)</f>
        <v>0.14402478458296522</v>
      </c>
      <c r="J1528" s="1" cm="1">
        <f t="array" ref="J1528">SUMPRODUCT(("T_TW-icegsl-S3"=[1]OUT_TransportEnergyCons!$A$3:$A$1000)*1,("var_fout"=[1]OUT_TransportEnergyCons!$B$3:$B$1000)*1,ISNUMBER(SEARCH("TPTWL",[1]OUT_TransportEnergyCons!$C$3:$C$1000))*1,[1]OUT_TransportEnergyCons!H$3:H$1000)</f>
        <v>3.3825143233569006E-2</v>
      </c>
      <c r="K1528" s="1" cm="1">
        <f t="array" ref="K1528">SUMPRODUCT(("T_TW-icegsl-S3"=[1]OUT_TransportEnergyCons!$A$3:$A$1000)*1,("var_fout"=[1]OUT_TransportEnergyCons!$B$3:$B$1000)*1,ISNUMBER(SEARCH("TPTWL",[1]OUT_TransportEnergyCons!$C$3:$C$1000))*1,[1]OUT_TransportEnergyCons!I$3:I$1000)</f>
        <v>2.6722324505313412E-4</v>
      </c>
    </row>
    <row r="1529" spans="2:11" x14ac:dyDescent="0.35">
      <c r="B1529" t="str">
        <f t="shared" si="948"/>
        <v>SPS4</v>
      </c>
      <c r="C1529" t="str">
        <f t="shared" si="946"/>
        <v>CH</v>
      </c>
      <c r="D1529" t="s">
        <v>1517</v>
      </c>
      <c r="E1529" t="str">
        <f t="shared" si="947"/>
        <v>Billion km/yr.</v>
      </c>
      <c r="F1529" s="1" cm="1">
        <f t="array" ref="F1529">SUMPRODUCT(("T_TW-icegsl-S4"=[1]OUT_TransportEnergyCons!$A$3:$A$1000)*1,("var_fout"=[1]OUT_TransportEnergyCons!$B$3:$B$1000)*1,ISNUMBER(SEARCH("TPTWL",[1]OUT_TransportEnergyCons!$C$3:$C$1000))*1,[1]OUT_TransportEnergyCons!D$3:D$1000)</f>
        <v>7.1808991532748889E-2</v>
      </c>
      <c r="G1529" s="1" cm="1">
        <f t="array" ref="G1529">SUMPRODUCT(("T_TW-icegsl-S4"=[1]OUT_TransportEnergyCons!$A$3:$A$1000)*1,("var_fout"=[1]OUT_TransportEnergyCons!$B$3:$B$1000)*1,ISNUMBER(SEARCH("TPTWL",[1]OUT_TransportEnergyCons!$C$3:$C$1000))*1,[1]OUT_TransportEnergyCons!E$3:E$1000)</f>
        <v>8.5355286252503854E-2</v>
      </c>
      <c r="H1529" s="1" cm="1">
        <f t="array" ref="H1529">SUMPRODUCT(("T_TW-icegsl-S4"=[1]OUT_TransportEnergyCons!$A$3:$A$1000)*1,("var_fout"=[1]OUT_TransportEnergyCons!$B$3:$B$1000)*1,ISNUMBER(SEARCH("TPTWL",[1]OUT_TransportEnergyCons!$C$3:$C$1000))*1,[1]OUT_TransportEnergyCons!F$3:F$1000)</f>
        <v>8.6774016269016971E-2</v>
      </c>
      <c r="I1529" s="1" cm="1">
        <f t="array" ref="I1529">SUMPRODUCT(("T_TW-icegsl-S4"=[1]OUT_TransportEnergyCons!$A$3:$A$1000)*1,("var_fout"=[1]OUT_TransportEnergyCons!$B$3:$B$1000)*1,ISNUMBER(SEARCH("TPTWL",[1]OUT_TransportEnergyCons!$C$3:$C$1000))*1,[1]OUT_TransportEnergyCons!G$3:G$1000)</f>
        <v>8.5333466685153542E-2</v>
      </c>
      <c r="J1529" s="1" cm="1">
        <f t="array" ref="J1529">SUMPRODUCT(("T_TW-icegsl-S4"=[1]OUT_TransportEnergyCons!$A$3:$A$1000)*1,("var_fout"=[1]OUT_TransportEnergyCons!$B$3:$B$1000)*1,ISNUMBER(SEARCH("TPTWL",[1]OUT_TransportEnergyCons!$C$3:$C$1000))*1,[1]OUT_TransportEnergyCons!H$3:H$1000)</f>
        <v>7.7550664563078631E-2</v>
      </c>
      <c r="K1529" s="1" cm="1">
        <f t="array" ref="K1529">SUMPRODUCT(("T_TW-icegsl-S4"=[1]OUT_TransportEnergyCons!$A$3:$A$1000)*1,("var_fout"=[1]OUT_TransportEnergyCons!$B$3:$B$1000)*1,ISNUMBER(SEARCH("TPTWL",[1]OUT_TransportEnergyCons!$C$3:$C$1000))*1,[1]OUT_TransportEnergyCons!I$3:I$1000)</f>
        <v>4.8512173275729953E-3</v>
      </c>
    </row>
    <row r="1530" spans="2:11" x14ac:dyDescent="0.35">
      <c r="B1530" s="9" t="str">
        <f t="shared" si="948"/>
        <v>SPS4</v>
      </c>
      <c r="C1530" s="9" t="str">
        <f t="shared" si="946"/>
        <v>CH</v>
      </c>
      <c r="D1530" s="2" t="s">
        <v>1519</v>
      </c>
      <c r="E1530" s="2" t="s">
        <v>1230</v>
      </c>
      <c r="F1530" s="23" t="s">
        <v>1528</v>
      </c>
      <c r="G1530" s="23" t="s">
        <v>1528</v>
      </c>
      <c r="H1530" s="23" t="s">
        <v>1528</v>
      </c>
      <c r="I1530" s="23" t="s">
        <v>1528</v>
      </c>
      <c r="J1530" s="23" t="s">
        <v>1528</v>
      </c>
      <c r="K1530" s="23" t="s">
        <v>1528</v>
      </c>
    </row>
    <row r="1531" spans="2:11" x14ac:dyDescent="0.35">
      <c r="B1531" t="str">
        <f t="shared" si="948"/>
        <v>SPS4</v>
      </c>
      <c r="C1531" t="str">
        <f t="shared" si="946"/>
        <v>CH</v>
      </c>
      <c r="D1531" t="s">
        <v>1520</v>
      </c>
      <c r="E1531" t="s">
        <v>1230</v>
      </c>
      <c r="F1531" s="1">
        <f t="shared" ref="F1531:K1534" si="949">IFERROR(F1517/F1497,"-")</f>
        <v>11.098927012431911</v>
      </c>
      <c r="G1531" s="1">
        <f t="shared" si="949"/>
        <v>11.107196040182446</v>
      </c>
      <c r="H1531" s="1">
        <f t="shared" si="949"/>
        <v>11.110334099196836</v>
      </c>
      <c r="I1531" s="1">
        <f t="shared" si="949"/>
        <v>11.125959459163967</v>
      </c>
      <c r="J1531" s="1">
        <f t="shared" si="949"/>
        <v>11.551255602369034</v>
      </c>
      <c r="K1531" s="1">
        <f t="shared" si="949"/>
        <v>11.770872861662035</v>
      </c>
    </row>
    <row r="1532" spans="2:11" x14ac:dyDescent="0.35">
      <c r="B1532" t="str">
        <f t="shared" si="948"/>
        <v>SPS4</v>
      </c>
      <c r="C1532" t="str">
        <f t="shared" si="946"/>
        <v>CH</v>
      </c>
      <c r="D1532" t="s">
        <v>1521</v>
      </c>
      <c r="E1532" t="s">
        <v>1230</v>
      </c>
      <c r="F1532" s="1">
        <f t="shared" si="949"/>
        <v>6.2845243629359908</v>
      </c>
      <c r="G1532" s="1">
        <f t="shared" si="949"/>
        <v>6.2890637494905572</v>
      </c>
      <c r="H1532" s="1">
        <f t="shared" si="949"/>
        <v>6.2947780018408777</v>
      </c>
      <c r="I1532" s="1">
        <f t="shared" si="949"/>
        <v>6.3093382433489236</v>
      </c>
      <c r="J1532" s="1">
        <f t="shared" si="949"/>
        <v>6.5371851576055358</v>
      </c>
      <c r="K1532" s="1">
        <f t="shared" si="949"/>
        <v>6.6329058717765408</v>
      </c>
    </row>
    <row r="1533" spans="2:11" x14ac:dyDescent="0.35">
      <c r="B1533" t="str">
        <f t="shared" si="948"/>
        <v>SPS4</v>
      </c>
      <c r="C1533" t="str">
        <f t="shared" si="946"/>
        <v>CH</v>
      </c>
      <c r="D1533" t="s">
        <v>1522</v>
      </c>
      <c r="E1533" t="s">
        <v>1230</v>
      </c>
      <c r="F1533" s="1">
        <f t="shared" si="949"/>
        <v>4.0901432735634886</v>
      </c>
      <c r="G1533" s="1">
        <f t="shared" si="949"/>
        <v>4.098273219051932</v>
      </c>
      <c r="H1533" s="1">
        <f t="shared" si="949"/>
        <v>4.1073814125971806</v>
      </c>
      <c r="I1533" s="1">
        <f t="shared" si="949"/>
        <v>4.1226022021231872</v>
      </c>
      <c r="J1533" s="1">
        <f t="shared" si="949"/>
        <v>4.1961545104314544</v>
      </c>
      <c r="K1533" s="1">
        <f t="shared" si="949"/>
        <v>4.3300081446185814</v>
      </c>
    </row>
    <row r="1534" spans="2:11" x14ac:dyDescent="0.35">
      <c r="B1534" t="str">
        <f t="shared" si="948"/>
        <v>SPS4</v>
      </c>
      <c r="C1534" t="str">
        <f t="shared" si="946"/>
        <v>CH</v>
      </c>
      <c r="D1534" t="s">
        <v>1523</v>
      </c>
      <c r="E1534" t="s">
        <v>1230</v>
      </c>
      <c r="F1534" s="1">
        <f t="shared" si="949"/>
        <v>3.7650534829600395</v>
      </c>
      <c r="G1534" s="1">
        <f t="shared" si="949"/>
        <v>3.7757213377483225</v>
      </c>
      <c r="H1534" s="1">
        <f t="shared" si="949"/>
        <v>3.7901889320948299</v>
      </c>
      <c r="I1534" s="1">
        <f t="shared" si="949"/>
        <v>3.8081582403869922</v>
      </c>
      <c r="J1534" s="1">
        <f t="shared" si="949"/>
        <v>3.8609466106776513</v>
      </c>
      <c r="K1534" s="1">
        <f t="shared" si="949"/>
        <v>3.9583369242181825</v>
      </c>
    </row>
    <row r="1535" spans="2:11" x14ac:dyDescent="0.35">
      <c r="B1535" t="str">
        <f t="shared" si="948"/>
        <v>SPS4</v>
      </c>
      <c r="C1535" t="str">
        <f t="shared" si="946"/>
        <v>CH</v>
      </c>
      <c r="D1535" t="s">
        <v>1524</v>
      </c>
      <c r="E1535" t="s">
        <v>1230</v>
      </c>
      <c r="F1535" s="1" t="str">
        <f t="shared" ref="F1535:K1538" si="950">IFERROR(F1521/F1502,"-")</f>
        <v>-</v>
      </c>
      <c r="G1535" s="1" t="str">
        <f t="shared" si="950"/>
        <v>-</v>
      </c>
      <c r="H1535" s="1" t="str">
        <f t="shared" si="950"/>
        <v>-</v>
      </c>
      <c r="I1535" s="1">
        <f t="shared" si="950"/>
        <v>4.6391179485367795</v>
      </c>
      <c r="J1535" s="1">
        <f t="shared" si="950"/>
        <v>4.743115426326848</v>
      </c>
      <c r="K1535" s="1">
        <f t="shared" si="950"/>
        <v>4.8589346007392509</v>
      </c>
    </row>
    <row r="1536" spans="2:11" x14ac:dyDescent="0.35">
      <c r="B1536" t="str">
        <f t="shared" si="948"/>
        <v>SPS4</v>
      </c>
      <c r="C1536" t="str">
        <f t="shared" si="946"/>
        <v>CH</v>
      </c>
      <c r="D1536" t="s">
        <v>1525</v>
      </c>
      <c r="E1536" t="s">
        <v>1230</v>
      </c>
      <c r="F1536" s="1" t="str">
        <f t="shared" si="950"/>
        <v>-</v>
      </c>
      <c r="G1536" s="1" t="str">
        <f t="shared" si="950"/>
        <v>-</v>
      </c>
      <c r="H1536" s="1" t="str">
        <f t="shared" si="950"/>
        <v>-</v>
      </c>
      <c r="I1536" s="1">
        <f t="shared" si="950"/>
        <v>2.7008868509993631</v>
      </c>
      <c r="J1536" s="1">
        <f t="shared" si="950"/>
        <v>2.7505708584318485</v>
      </c>
      <c r="K1536" s="1">
        <f t="shared" si="950"/>
        <v>2.8072339084963991</v>
      </c>
    </row>
    <row r="1537" spans="2:11" x14ac:dyDescent="0.35">
      <c r="B1537" t="str">
        <f t="shared" si="948"/>
        <v>SPS4</v>
      </c>
      <c r="C1537" t="str">
        <f t="shared" si="946"/>
        <v>CH</v>
      </c>
      <c r="D1537" t="s">
        <v>1526</v>
      </c>
      <c r="E1537" t="s">
        <v>1230</v>
      </c>
      <c r="F1537" s="1" t="str">
        <f t="shared" si="950"/>
        <v>-</v>
      </c>
      <c r="G1537" s="1" t="str">
        <f t="shared" si="950"/>
        <v>-</v>
      </c>
      <c r="H1537" s="1" t="str">
        <f t="shared" si="950"/>
        <v>-</v>
      </c>
      <c r="I1537" s="1">
        <f t="shared" si="950"/>
        <v>1.7606485351727301</v>
      </c>
      <c r="J1537" s="1">
        <f t="shared" si="950"/>
        <v>1.7890133870956</v>
      </c>
      <c r="K1537" s="1">
        <f t="shared" si="950"/>
        <v>1.8215655826057118</v>
      </c>
    </row>
    <row r="1538" spans="2:11" x14ac:dyDescent="0.35">
      <c r="B1538" t="str">
        <f t="shared" si="948"/>
        <v>SPS4</v>
      </c>
      <c r="C1538" t="str">
        <f t="shared" si="946"/>
        <v>CH</v>
      </c>
      <c r="D1538" t="s">
        <v>1527</v>
      </c>
      <c r="E1538" t="s">
        <v>1230</v>
      </c>
      <c r="F1538" s="1" t="str">
        <f t="shared" si="950"/>
        <v>-</v>
      </c>
      <c r="G1538" s="1" t="str">
        <f t="shared" si="950"/>
        <v>-</v>
      </c>
      <c r="H1538" s="1" t="str">
        <f t="shared" si="950"/>
        <v>-</v>
      </c>
      <c r="I1538" s="1">
        <f t="shared" si="950"/>
        <v>1.5620411785777197</v>
      </c>
      <c r="J1538" s="1">
        <f t="shared" si="950"/>
        <v>1.5920028580965306</v>
      </c>
      <c r="K1538" s="1">
        <f t="shared" si="950"/>
        <v>1.6164482169584788</v>
      </c>
    </row>
    <row r="1539" spans="2:11" x14ac:dyDescent="0.35">
      <c r="B1539" t="str">
        <f t="shared" si="948"/>
        <v>SPS4</v>
      </c>
      <c r="C1539" t="str">
        <f t="shared" si="946"/>
        <v>CH</v>
      </c>
      <c r="D1539" t="s">
        <v>1583</v>
      </c>
      <c r="E1539" t="s">
        <v>1230</v>
      </c>
      <c r="F1539" s="1">
        <f t="shared" ref="F1539:K1543" si="951">IFERROR(F1525/F1511,"-")</f>
        <v>0.77116510534577742</v>
      </c>
      <c r="G1539" s="1">
        <f t="shared" si="951"/>
        <v>0.78723832996731991</v>
      </c>
      <c r="H1539" s="1">
        <f t="shared" si="951"/>
        <v>0.81134816689963363</v>
      </c>
      <c r="I1539" s="1">
        <f t="shared" si="951"/>
        <v>0.85153122845348872</v>
      </c>
      <c r="J1539" s="1" t="str">
        <f t="shared" si="951"/>
        <v>-</v>
      </c>
      <c r="K1539" s="1" t="str">
        <f t="shared" si="951"/>
        <v>-</v>
      </c>
    </row>
    <row r="1540" spans="2:11" x14ac:dyDescent="0.35">
      <c r="B1540" t="str">
        <f t="shared" si="948"/>
        <v>SPS4</v>
      </c>
      <c r="C1540" t="str">
        <f t="shared" si="946"/>
        <v>CH</v>
      </c>
      <c r="D1540" t="s">
        <v>1584</v>
      </c>
      <c r="E1540" t="s">
        <v>1230</v>
      </c>
      <c r="F1540" s="1">
        <f t="shared" si="951"/>
        <v>1.9078836334110931</v>
      </c>
      <c r="G1540" s="1">
        <f t="shared" si="951"/>
        <v>1.9209197356763346</v>
      </c>
      <c r="H1540" s="1">
        <f t="shared" si="951"/>
        <v>1.9366085111982576</v>
      </c>
      <c r="I1540" s="1">
        <f t="shared" si="951"/>
        <v>1.9723127037903736</v>
      </c>
      <c r="J1540" s="1">
        <f t="shared" si="951"/>
        <v>2.0656457644562396</v>
      </c>
      <c r="K1540" s="1">
        <f t="shared" si="951"/>
        <v>2.1598084739946626</v>
      </c>
    </row>
    <row r="1541" spans="2:11" x14ac:dyDescent="0.35">
      <c r="B1541" t="str">
        <f t="shared" si="948"/>
        <v>SPS4</v>
      </c>
      <c r="C1541" t="str">
        <f t="shared" si="946"/>
        <v>CH</v>
      </c>
      <c r="D1541" t="s">
        <v>1585</v>
      </c>
      <c r="E1541" t="s">
        <v>1230</v>
      </c>
      <c r="F1541" s="1">
        <f t="shared" si="951"/>
        <v>1.1027629847473197</v>
      </c>
      <c r="G1541" s="1">
        <f t="shared" si="951"/>
        <v>1.1042994732901747</v>
      </c>
      <c r="H1541" s="1">
        <f t="shared" si="951"/>
        <v>1.1043300214058804</v>
      </c>
      <c r="I1541" s="1">
        <f t="shared" si="951"/>
        <v>1.1046842495911229</v>
      </c>
      <c r="J1541" s="1">
        <f t="shared" si="951"/>
        <v>1.1822661530195995</v>
      </c>
      <c r="K1541" s="1">
        <f t="shared" si="951"/>
        <v>1.2166576438081051</v>
      </c>
    </row>
    <row r="1542" spans="2:11" x14ac:dyDescent="0.35">
      <c r="B1542" t="str">
        <f t="shared" si="948"/>
        <v>SPS4</v>
      </c>
      <c r="C1542" t="str">
        <f t="shared" si="946"/>
        <v>CH</v>
      </c>
      <c r="D1542" t="s">
        <v>1586</v>
      </c>
      <c r="E1542" t="s">
        <v>1230</v>
      </c>
      <c r="F1542" s="1">
        <f t="shared" si="951"/>
        <v>0.72942698043637122</v>
      </c>
      <c r="G1542" s="1">
        <f t="shared" si="951"/>
        <v>0.73017394257223633</v>
      </c>
      <c r="H1542" s="1">
        <f t="shared" si="951"/>
        <v>0.73018423405316657</v>
      </c>
      <c r="I1542" s="1">
        <f t="shared" si="951"/>
        <v>0.73020889387034171</v>
      </c>
      <c r="J1542" s="1">
        <f t="shared" si="951"/>
        <v>0.73153959814210701</v>
      </c>
      <c r="K1542" s="1">
        <f t="shared" si="951"/>
        <v>0.79535019810352103</v>
      </c>
    </row>
    <row r="1543" spans="2:11" x14ac:dyDescent="0.35">
      <c r="B1543" t="str">
        <f t="shared" si="948"/>
        <v>SPS4</v>
      </c>
      <c r="C1543" t="str">
        <f t="shared" si="946"/>
        <v>CH</v>
      </c>
      <c r="D1543" t="s">
        <v>1587</v>
      </c>
      <c r="E1543" t="s">
        <v>1230</v>
      </c>
      <c r="F1543" s="1">
        <f t="shared" si="951"/>
        <v>0.67580166525687324</v>
      </c>
      <c r="G1543" s="1">
        <f t="shared" si="951"/>
        <v>0.6764153345337478</v>
      </c>
      <c r="H1543" s="1">
        <f t="shared" si="951"/>
        <v>0.67642510766898312</v>
      </c>
      <c r="I1543" s="1">
        <f t="shared" si="951"/>
        <v>0.67644159515011359</v>
      </c>
      <c r="J1543" s="1">
        <f t="shared" si="951"/>
        <v>0.67656687410359451</v>
      </c>
      <c r="K1543" s="1">
        <f t="shared" si="951"/>
        <v>0.67953640034190854</v>
      </c>
    </row>
    <row r="1544" spans="2:11" x14ac:dyDescent="0.35">
      <c r="B1544" s="2" t="str">
        <f t="shared" si="948"/>
        <v>SPS4</v>
      </c>
      <c r="C1544" s="2" t="str">
        <f>C1543</f>
        <v>CH</v>
      </c>
      <c r="D1544" s="2" t="s">
        <v>1536</v>
      </c>
      <c r="E1544" s="2" t="s">
        <v>8</v>
      </c>
      <c r="F1544" s="3">
        <f>F1545+F1548+F1550+F1557+F1565</f>
        <v>16.702472674523634</v>
      </c>
      <c r="G1544" s="3">
        <f t="shared" ref="G1544:K1544" si="952">G1545+G1548+G1550+G1557+G1565</f>
        <v>15.671115466370049</v>
      </c>
      <c r="H1544" s="3">
        <f t="shared" si="952"/>
        <v>14.115659459274692</v>
      </c>
      <c r="I1544" s="3">
        <f t="shared" si="952"/>
        <v>11.599802287118855</v>
      </c>
      <c r="J1544" s="3">
        <f t="shared" si="952"/>
        <v>8.9598698915263704</v>
      </c>
      <c r="K1544" s="3">
        <f t="shared" si="952"/>
        <v>9.6917331576096917</v>
      </c>
    </row>
    <row r="1545" spans="2:11" x14ac:dyDescent="0.35">
      <c r="B1545" t="str">
        <f t="shared" si="948"/>
        <v>SPS4</v>
      </c>
      <c r="C1545" t="str">
        <f t="shared" ref="C1545:C1590" si="953">C1544</f>
        <v>CH</v>
      </c>
      <c r="D1545" t="s">
        <v>1537</v>
      </c>
      <c r="E1545" t="str">
        <f>E1544</f>
        <v>PJ/yr.</v>
      </c>
      <c r="F1545" s="1">
        <f>SUM(F1546:F1547)</f>
        <v>7.5808680382973309E-2</v>
      </c>
      <c r="G1545" s="1">
        <f t="shared" ref="G1545:K1545" si="954">SUM(G1546:G1547)</f>
        <v>0.14147883223609173</v>
      </c>
      <c r="H1545" s="1">
        <f t="shared" si="954"/>
        <v>0.35184008909941389</v>
      </c>
      <c r="I1545" s="1">
        <f t="shared" si="954"/>
        <v>1.273619785469148</v>
      </c>
      <c r="J1545" s="1">
        <f t="shared" si="954"/>
        <v>4.8125006811814739</v>
      </c>
      <c r="K1545" s="1">
        <f t="shared" si="954"/>
        <v>5.1570843411073906</v>
      </c>
    </row>
    <row r="1546" spans="2:11" x14ac:dyDescent="0.35">
      <c r="B1546" t="str">
        <f t="shared" si="948"/>
        <v>SPS4</v>
      </c>
      <c r="C1546" t="str">
        <f t="shared" si="953"/>
        <v>CH</v>
      </c>
      <c r="D1546" t="s">
        <v>1544</v>
      </c>
      <c r="E1546" t="str">
        <f t="shared" ref="E1546:E1570" si="955">E1545</f>
        <v>PJ/yr.</v>
      </c>
      <c r="F1546" s="1" cm="1">
        <f t="array" ref="F1546">SUMPRODUCT(("TFLGV-BeVELCExt"=[1]OUT_TransportEnergyCons!$A$3:$A$1000)*1,("Var_Fin"=[1]OUT_TransportEnergyCons!$B$3:$B$1000)*1,ISNUMBER(SEARCH("ELC",[1]OUT_TransportEnergyCons!$C$3:$C$1000))*1,[1]OUT_TransportEnergyCons!D$3:D$1000)</f>
        <v>4.0481110721538226E-2</v>
      </c>
      <c r="G1546" s="1" cm="1">
        <f t="array" ref="G1546">SUMPRODUCT(("TFLGV-BeVELCExt"=[1]OUT_TransportEnergyCons!$A$3:$A$1000)*1,("Var_Fin"=[1]OUT_TransportEnergyCons!$B$3:$B$1000)*1,ISNUMBER(SEARCH("ELC",[1]OUT_TransportEnergyCons!$C$3:$C$1000))*1,[1]OUT_TransportEnergyCons!E$3:E$1000)</f>
        <v>3.4776142999714696E-2</v>
      </c>
      <c r="H1546" s="1" cm="1">
        <f t="array" ref="H1546">SUMPRODUCT(("TFLGV-BeVELCExt"=[1]OUT_TransportEnergyCons!$A$3:$A$1000)*1,("Var_Fin"=[1]OUT_TransportEnergyCons!$B$3:$B$1000)*1,ISNUMBER(SEARCH("ELC",[1]OUT_TransportEnergyCons!$C$3:$C$1000))*1,[1]OUT_TransportEnergyCons!F$3:F$1000)</f>
        <v>2.6396981177994688E-2</v>
      </c>
      <c r="I1546" s="1" cm="1">
        <f t="array" ref="I1546">SUMPRODUCT(("TFLGV-BeVELCExt"=[1]OUT_TransportEnergyCons!$A$3:$A$1000)*1,("Var_Fin"=[1]OUT_TransportEnergyCons!$B$3:$B$1000)*1,ISNUMBER(SEARCH("ELC",[1]OUT_TransportEnergyCons!$C$3:$C$1000))*1,[1]OUT_TransportEnergyCons!G$3:G$1000)</f>
        <v>1.318003162053754E-2</v>
      </c>
      <c r="J1546" s="1" cm="1">
        <f t="array" ref="J1546">SUMPRODUCT(("TFLGV-BeVELCExt"=[1]OUT_TransportEnergyCons!$A$3:$A$1000)*1,("Var_Fin"=[1]OUT_TransportEnergyCons!$B$3:$B$1000)*1,ISNUMBER(SEARCH("ELC",[1]OUT_TransportEnergyCons!$C$3:$C$1000))*1,[1]OUT_TransportEnergyCons!H$3:H$1000)</f>
        <v>0</v>
      </c>
      <c r="K1546" s="1" cm="1">
        <f t="array" ref="K1546">SUMPRODUCT(("TFLGV-BeVELCExt"=[1]OUT_TransportEnergyCons!$A$3:$A$1000)*1,("Var_Fin"=[1]OUT_TransportEnergyCons!$B$3:$B$1000)*1,ISNUMBER(SEARCH("ELC",[1]OUT_TransportEnergyCons!$C$3:$C$1000))*1,[1]OUT_TransportEnergyCons!I$3:I$1000)</f>
        <v>0</v>
      </c>
    </row>
    <row r="1547" spans="2:11" x14ac:dyDescent="0.35">
      <c r="B1547" t="str">
        <f t="shared" si="948"/>
        <v>SPS4</v>
      </c>
      <c r="C1547" t="str">
        <f t="shared" si="953"/>
        <v>CH</v>
      </c>
      <c r="D1547" t="s">
        <v>1545</v>
      </c>
      <c r="E1547" t="str">
        <f t="shared" si="955"/>
        <v>PJ/yr.</v>
      </c>
      <c r="F1547" s="1" cm="1">
        <f t="array" ref="F1547">SUMPRODUCT(("TFLGV-BEVELC"=[1]OUT_TransportEnergyCons!$A$3:$A$1000)*1,("Var_Fin"=[1]OUT_TransportEnergyCons!$B$3:$B$1000)*1,ISNUMBER(SEARCH("ELC",[1]OUT_TransportEnergyCons!$C$3:$C$1000))*1,[1]OUT_TransportEnergyCons!D$3:D$1000)</f>
        <v>3.532756966143509E-2</v>
      </c>
      <c r="G1547" s="1" cm="1">
        <f t="array" ref="G1547">SUMPRODUCT(("TFLGV-BEVELC"=[1]OUT_TransportEnergyCons!$A$3:$A$1000)*1,("Var_Fin"=[1]OUT_TransportEnergyCons!$B$3:$B$1000)*1,ISNUMBER(SEARCH("ELC",[1]OUT_TransportEnergyCons!$C$3:$C$1000))*1,[1]OUT_TransportEnergyCons!E$3:E$1000)</f>
        <v>0.10670268923637703</v>
      </c>
      <c r="H1547" s="1" cm="1">
        <f t="array" ref="H1547">SUMPRODUCT(("TFLGV-BEVELC"=[1]OUT_TransportEnergyCons!$A$3:$A$1000)*1,("Var_Fin"=[1]OUT_TransportEnergyCons!$B$3:$B$1000)*1,ISNUMBER(SEARCH("ELC",[1]OUT_TransportEnergyCons!$C$3:$C$1000))*1,[1]OUT_TransportEnergyCons!F$3:F$1000)</f>
        <v>0.32544310792141923</v>
      </c>
      <c r="I1547" s="1" cm="1">
        <f t="array" ref="I1547">SUMPRODUCT(("TFLGV-BEVELC"=[1]OUT_TransportEnergyCons!$A$3:$A$1000)*1,("Var_Fin"=[1]OUT_TransportEnergyCons!$B$3:$B$1000)*1,ISNUMBER(SEARCH("ELC",[1]OUT_TransportEnergyCons!$C$3:$C$1000))*1,[1]OUT_TransportEnergyCons!G$3:G$1000)</f>
        <v>1.2604397538486105</v>
      </c>
      <c r="J1547" s="1" cm="1">
        <f t="array" ref="J1547">SUMPRODUCT(("TFLGV-BEVELC"=[1]OUT_TransportEnergyCons!$A$3:$A$1000)*1,("Var_Fin"=[1]OUT_TransportEnergyCons!$B$3:$B$1000)*1,ISNUMBER(SEARCH("ELC",[1]OUT_TransportEnergyCons!$C$3:$C$1000))*1,[1]OUT_TransportEnergyCons!H$3:H$1000)</f>
        <v>4.8125006811814739</v>
      </c>
      <c r="K1547" s="1" cm="1">
        <f t="array" ref="K1547">SUMPRODUCT(("TFLGV-BEVELC"=[1]OUT_TransportEnergyCons!$A$3:$A$1000)*1,("Var_Fin"=[1]OUT_TransportEnergyCons!$B$3:$B$1000)*1,ISNUMBER(SEARCH("ELC",[1]OUT_TransportEnergyCons!$C$3:$C$1000))*1,[1]OUT_TransportEnergyCons!I$3:I$1000)</f>
        <v>5.1570843411073906</v>
      </c>
    </row>
    <row r="1548" spans="2:11" x14ac:dyDescent="0.35">
      <c r="B1548" t="str">
        <f t="shared" si="948"/>
        <v>SPS4</v>
      </c>
      <c r="C1548" t="str">
        <f t="shared" si="953"/>
        <v>CH</v>
      </c>
      <c r="D1548" t="s">
        <v>1538</v>
      </c>
      <c r="E1548" t="str">
        <f t="shared" si="955"/>
        <v>PJ/yr.</v>
      </c>
      <c r="F1548" s="1">
        <f>F1549</f>
        <v>0</v>
      </c>
      <c r="G1548" s="1">
        <f t="shared" ref="G1548:K1548" si="956">G1549</f>
        <v>5.7743618497777333E-5</v>
      </c>
      <c r="H1548" s="1">
        <f t="shared" si="956"/>
        <v>7.5503555065845052E-5</v>
      </c>
      <c r="I1548" s="1">
        <f t="shared" si="956"/>
        <v>3.7255405039787803E-5</v>
      </c>
      <c r="J1548" s="1">
        <f t="shared" si="956"/>
        <v>2.9189875771343531E-5</v>
      </c>
      <c r="K1548" s="1">
        <f t="shared" si="956"/>
        <v>2.7577966038396735E-5</v>
      </c>
    </row>
    <row r="1549" spans="2:11" x14ac:dyDescent="0.35">
      <c r="B1549" t="str">
        <f t="shared" si="948"/>
        <v>SPS4</v>
      </c>
      <c r="C1549" t="str">
        <f t="shared" si="953"/>
        <v>CH</v>
      </c>
      <c r="D1549" t="s">
        <v>1546</v>
      </c>
      <c r="E1549" t="str">
        <f t="shared" si="955"/>
        <v>PJ/yr.</v>
      </c>
      <c r="F1549" s="1" cm="1">
        <f t="array" ref="F1549">SUMPRODUCT(("TFLGV-FCLH2O"=[1]OUT_TransportEnergyCons!$A$3:$A$1000)*1,("Var_Fin"=[1]OUT_TransportEnergyCons!$B$3:$B$1000)*1,ISNUMBER(SEARCH("h2",[1]OUT_TransportEnergyCons!$C$3:$C$1000))*1,[1]OUT_TransportEnergyCons!D$3:D$1000)</f>
        <v>0</v>
      </c>
      <c r="G1549" s="1" cm="1">
        <f t="array" ref="G1549">SUMPRODUCT(("TFLGV-FCLH2O"=[1]OUT_TransportEnergyCons!$A$3:$A$1000)*1,("Var_Fin"=[1]OUT_TransportEnergyCons!$B$3:$B$1000)*1,ISNUMBER(SEARCH("h2",[1]OUT_TransportEnergyCons!$C$3:$C$1000))*1,[1]OUT_TransportEnergyCons!E$3:E$1000)</f>
        <v>5.7743618497777333E-5</v>
      </c>
      <c r="H1549" s="1" cm="1">
        <f t="array" ref="H1549">SUMPRODUCT(("TFLGV-FCLH2O"=[1]OUT_TransportEnergyCons!$A$3:$A$1000)*1,("Var_Fin"=[1]OUT_TransportEnergyCons!$B$3:$B$1000)*1,ISNUMBER(SEARCH("h2",[1]OUT_TransportEnergyCons!$C$3:$C$1000))*1,[1]OUT_TransportEnergyCons!F$3:F$1000)</f>
        <v>7.5503555065845052E-5</v>
      </c>
      <c r="I1549" s="1" cm="1">
        <f t="array" ref="I1549">SUMPRODUCT(("TFLGV-FCLH2O"=[1]OUT_TransportEnergyCons!$A$3:$A$1000)*1,("Var_Fin"=[1]OUT_TransportEnergyCons!$B$3:$B$1000)*1,ISNUMBER(SEARCH("h2",[1]OUT_TransportEnergyCons!$C$3:$C$1000))*1,[1]OUT_TransportEnergyCons!G$3:G$1000)</f>
        <v>3.7255405039787803E-5</v>
      </c>
      <c r="J1549" s="1" cm="1">
        <f t="array" ref="J1549">SUMPRODUCT(("TFLGV-FCLH2O"=[1]OUT_TransportEnergyCons!$A$3:$A$1000)*1,("Var_Fin"=[1]OUT_TransportEnergyCons!$B$3:$B$1000)*1,ISNUMBER(SEARCH("h2",[1]OUT_TransportEnergyCons!$C$3:$C$1000))*1,[1]OUT_TransportEnergyCons!H$3:H$1000)</f>
        <v>2.9189875771343531E-5</v>
      </c>
      <c r="K1549" s="1" cm="1">
        <f t="array" ref="K1549">SUMPRODUCT(("TFLGV-FCLH2O"=[1]OUT_TransportEnergyCons!$A$3:$A$1000)*1,("Var_Fin"=[1]OUT_TransportEnergyCons!$B$3:$B$1000)*1,ISNUMBER(SEARCH("h2",[1]OUT_TransportEnergyCons!$C$3:$C$1000))*1,[1]OUT_TransportEnergyCons!I$3:I$1000)</f>
        <v>2.7577966038396735E-5</v>
      </c>
    </row>
    <row r="1550" spans="2:11" x14ac:dyDescent="0.35">
      <c r="B1550" t="str">
        <f t="shared" si="948"/>
        <v>SPS4</v>
      </c>
      <c r="C1550" t="str">
        <f t="shared" si="953"/>
        <v>CH</v>
      </c>
      <c r="D1550" t="s">
        <v>1539</v>
      </c>
      <c r="E1550" t="str">
        <f t="shared" si="955"/>
        <v>PJ/yr.</v>
      </c>
      <c r="F1550" s="1">
        <f>SUM(F1555:F1556)</f>
        <v>1.1964793031822336</v>
      </c>
      <c r="G1550" s="1">
        <f t="shared" ref="G1550:K1550" si="957">SUM(G1555:G1556)</f>
        <v>2.6388478787254943</v>
      </c>
      <c r="H1550" s="1">
        <f t="shared" si="957"/>
        <v>1.7610575591978219</v>
      </c>
      <c r="I1550" s="1">
        <f t="shared" si="957"/>
        <v>2.0366168365940736</v>
      </c>
      <c r="J1550" s="1">
        <f t="shared" si="957"/>
        <v>1.3644080148916613</v>
      </c>
      <c r="K1550" s="1">
        <f t="shared" si="957"/>
        <v>1.6517424963587872</v>
      </c>
    </row>
    <row r="1551" spans="2:11" x14ac:dyDescent="0.35">
      <c r="B1551" t="str">
        <f t="shared" si="948"/>
        <v>SPS4</v>
      </c>
      <c r="C1551" t="str">
        <f t="shared" si="953"/>
        <v>CH</v>
      </c>
      <c r="D1551" t="s">
        <v>1540</v>
      </c>
      <c r="E1551" t="str">
        <f t="shared" si="955"/>
        <v>PJ/yr.</v>
      </c>
      <c r="F1551" s="1">
        <f>F1550-F1552</f>
        <v>1.1309829125818596</v>
      </c>
      <c r="G1551" s="1">
        <f t="shared" ref="G1551:K1551" si="958">G1550-G1552</f>
        <v>2.4943845667403544</v>
      </c>
      <c r="H1551" s="1">
        <f t="shared" si="958"/>
        <v>1.6646553936301056</v>
      </c>
      <c r="I1551" s="1">
        <f t="shared" si="958"/>
        <v>1.92506932717846</v>
      </c>
      <c r="J1551" s="1">
        <f t="shared" si="958"/>
        <v>1.2897012751972174</v>
      </c>
      <c r="K1551" s="1">
        <f t="shared" si="958"/>
        <v>1.5612978997981821</v>
      </c>
    </row>
    <row r="1552" spans="2:11" x14ac:dyDescent="0.35">
      <c r="B1552" t="str">
        <f t="shared" si="948"/>
        <v>SPS4</v>
      </c>
      <c r="C1552" t="str">
        <f t="shared" si="953"/>
        <v>CH</v>
      </c>
      <c r="D1552" t="s">
        <v>1541</v>
      </c>
      <c r="E1552" t="str">
        <f t="shared" si="955"/>
        <v>PJ/yr.</v>
      </c>
      <c r="F1552" s="1">
        <f>SUM(F1553:F1554)</f>
        <v>6.5496390600373974E-2</v>
      </c>
      <c r="G1552" s="1">
        <f t="shared" ref="G1552:K1552" si="959">SUM(G1553:G1554)</f>
        <v>0.14446331198513979</v>
      </c>
      <c r="H1552" s="1">
        <f t="shared" si="959"/>
        <v>9.6402165567716233E-2</v>
      </c>
      <c r="I1552" s="1">
        <f t="shared" si="959"/>
        <v>0.11154750941561349</v>
      </c>
      <c r="J1552" s="1">
        <f t="shared" si="959"/>
        <v>7.4706739694443941E-2</v>
      </c>
      <c r="K1552" s="1">
        <f t="shared" si="959"/>
        <v>9.0444596560605009E-2</v>
      </c>
    </row>
    <row r="1553" spans="2:11" x14ac:dyDescent="0.35">
      <c r="B1553" t="str">
        <f t="shared" si="948"/>
        <v>SPS4</v>
      </c>
      <c r="C1553" t="str">
        <f t="shared" si="953"/>
        <v>CH</v>
      </c>
      <c r="D1553" t="s">
        <v>1542</v>
      </c>
      <c r="E1553" t="str">
        <f t="shared" si="955"/>
        <v>PJ/yr.</v>
      </c>
      <c r="F1553" s="1">
        <f>[1]Transport!B$25/SUM([1]Transport!B$21,[1]Transport!B$25)*F1550*(F$34+F$598)/(F$34+F$598+F$37)</f>
        <v>6.5496390600373974E-2</v>
      </c>
      <c r="G1553" s="1">
        <f>[1]Transport!C$25/SUM([1]Transport!C$21,[1]Transport!C$25)*G1550*(G$34+G$598)/(G$34+G$598+G$37)</f>
        <v>0.14446331198513979</v>
      </c>
      <c r="H1553" s="1">
        <f>[1]Transport!D$25/SUM([1]Transport!D$21,[1]Transport!D$25)*H1550*(H$34+H$598)/(H$34+H$598+H$37)</f>
        <v>9.6402165567716233E-2</v>
      </c>
      <c r="I1553" s="1">
        <f>[1]Transport!E$25/SUM([1]Transport!E$21,[1]Transport!E$25)*I1550*(I$34+I$598)/(I$34+I$598+I$37)</f>
        <v>0.11154750941561349</v>
      </c>
      <c r="J1553" s="1">
        <f>[1]Transport!F$25/SUM([1]Transport!F$21,[1]Transport!F$25)*J1550*(J$34+J$598)/(J$34+J$598+J$37)</f>
        <v>7.4706739694443941E-2</v>
      </c>
      <c r="K1553" s="1">
        <f>[1]Transport!G$25/SUM([1]Transport!G$21,[1]Transport!G$25)*K1550*(K$34+K$598)/(K$34+K$598+K$37)</f>
        <v>9.0444596560605009E-2</v>
      </c>
    </row>
    <row r="1554" spans="2:11" x14ac:dyDescent="0.35">
      <c r="B1554" t="str">
        <f t="shared" si="948"/>
        <v>SPS4</v>
      </c>
      <c r="C1554" t="str">
        <f t="shared" si="953"/>
        <v>CH</v>
      </c>
      <c r="D1554" t="s">
        <v>1543</v>
      </c>
      <c r="E1554" t="str">
        <f t="shared" si="955"/>
        <v>PJ/yr.</v>
      </c>
      <c r="F1554" s="1">
        <f>(F$37+F$717)/([1]Transport!B$21+[1]Transport!B$25)*F1550</f>
        <v>0</v>
      </c>
      <c r="G1554" s="1">
        <f>(G$37+G$717)/([1]Transport!C$21+[1]Transport!C$25)*G1550</f>
        <v>0</v>
      </c>
      <c r="H1554" s="1">
        <f>(H$37+H$717)/([1]Transport!D$21+[1]Transport!D$25)*H1550</f>
        <v>0</v>
      </c>
      <c r="I1554" s="1">
        <f>(I$37+I$717)/([1]Transport!E$21+[1]Transport!E$25)*I1550</f>
        <v>0</v>
      </c>
      <c r="J1554" s="1">
        <f>(J$37+J$717)/([1]Transport!F$21+[1]Transport!F$25)*J1550</f>
        <v>0</v>
      </c>
      <c r="K1554" s="1">
        <f>(K$37+K$717)/([1]Transport!G$21+[1]Transport!G$25)*K1550</f>
        <v>0</v>
      </c>
    </row>
    <row r="1555" spans="2:11" x14ac:dyDescent="0.35">
      <c r="B1555" t="str">
        <f t="shared" si="948"/>
        <v>SPS4</v>
      </c>
      <c r="C1555" t="str">
        <f t="shared" si="953"/>
        <v>CH</v>
      </c>
      <c r="D1555" t="s">
        <v>1589</v>
      </c>
      <c r="E1555" t="str">
        <f t="shared" si="955"/>
        <v>PJ/yr.</v>
      </c>
      <c r="F1555" s="1" cm="1">
        <f t="array" ref="F1555">SUMPRODUCT(("TFLGV-ICEGSLExt"=[1]OUT_TransportEnergyCons!$A$3:$A$1000)*1,("Var_Fin"=[1]OUT_TransportEnergyCons!$B$3:$B$1000)*1,ISNUMBER(SEARCH("gsl",[1]OUT_TransportEnergyCons!$C$3:$C$1000))*1,[1]OUT_TransportEnergyCons!D$3:D$1000)</f>
        <v>0.83266289870078536</v>
      </c>
      <c r="G1555" s="1" cm="1">
        <f t="array" ref="G1555">SUMPRODUCT(("TFLGV-ICEGSLExt"=[1]OUT_TransportEnergyCons!$A$3:$A$1000)*1,("Var_Fin"=[1]OUT_TransportEnergyCons!$B$3:$B$1000)*1,ISNUMBER(SEARCH("gsl",[1]OUT_TransportEnergyCons!$C$3:$C$1000))*1,[1]OUT_TransportEnergyCons!E$3:E$1000)</f>
        <v>1.8701749912756556</v>
      </c>
      <c r="H1555" s="1" cm="1">
        <f t="array" ref="H1555">SUMPRODUCT(("TFLGV-ICEGSLExt"=[1]OUT_TransportEnergyCons!$A$3:$A$1000)*1,("Var_Fin"=[1]OUT_TransportEnergyCons!$B$3:$B$1000)*1,ISNUMBER(SEARCH("gsl",[1]OUT_TransportEnergyCons!$C$3:$C$1000))*1,[1]OUT_TransportEnergyCons!F$3:F$1000)</f>
        <v>0.54755806239364702</v>
      </c>
      <c r="I1555" s="1" cm="1">
        <f t="array" ref="I1555">SUMPRODUCT(("TFLGV-ICEGSLExt"=[1]OUT_TransportEnergyCons!$A$3:$A$1000)*1,("Var_Fin"=[1]OUT_TransportEnergyCons!$B$3:$B$1000)*1,ISNUMBER(SEARCH("gsl",[1]OUT_TransportEnergyCons!$C$3:$C$1000))*1,[1]OUT_TransportEnergyCons!G$3:G$1000)</f>
        <v>0.27116137621235775</v>
      </c>
      <c r="J1555" s="1" cm="1">
        <f t="array" ref="J1555">SUMPRODUCT(("TFLGV-ICEGSLExt"=[1]OUT_TransportEnergyCons!$A$3:$A$1000)*1,("Var_Fin"=[1]OUT_TransportEnergyCons!$B$3:$B$1000)*1,ISNUMBER(SEARCH("gsl",[1]OUT_TransportEnergyCons!$C$3:$C$1000))*1,[1]OUT_TransportEnergyCons!H$3:H$1000)</f>
        <v>0</v>
      </c>
      <c r="K1555" s="1" cm="1">
        <f t="array" ref="K1555">SUMPRODUCT(("TFLGV-ICEGSLExt"=[1]OUT_TransportEnergyCons!$A$3:$A$1000)*1,("Var_Fin"=[1]OUT_TransportEnergyCons!$B$3:$B$1000)*1,ISNUMBER(SEARCH("gsl",[1]OUT_TransportEnergyCons!$C$3:$C$1000))*1,[1]OUT_TransportEnergyCons!I$3:I$1000)</f>
        <v>0</v>
      </c>
    </row>
    <row r="1556" spans="2:11" x14ac:dyDescent="0.35">
      <c r="B1556" t="str">
        <f t="shared" si="948"/>
        <v>SPS4</v>
      </c>
      <c r="C1556" t="str">
        <f t="shared" si="953"/>
        <v>CH</v>
      </c>
      <c r="D1556" t="s">
        <v>1588</v>
      </c>
      <c r="E1556" t="str">
        <f t="shared" si="955"/>
        <v>PJ/yr.</v>
      </c>
      <c r="F1556" s="1" cm="1">
        <f t="array" ref="F1556">SUMPRODUCT(("TFLGV-ICEGSL"=[1]OUT_TransportEnergyCons!$A$3:$A$1000)*1,("Var_Fin"=[1]OUT_TransportEnergyCons!$B$3:$B$1000)*1,ISNUMBER(SEARCH("gsl",[1]OUT_TransportEnergyCons!$C$3:$C$1000))*1,[1]OUT_TransportEnergyCons!D$3:D$1000)</f>
        <v>0.3638164044814482</v>
      </c>
      <c r="G1556" s="1" cm="1">
        <f t="array" ref="G1556">SUMPRODUCT(("TFLGV-ICEGSL"=[1]OUT_TransportEnergyCons!$A$3:$A$1000)*1,("Var_Fin"=[1]OUT_TransportEnergyCons!$B$3:$B$1000)*1,ISNUMBER(SEARCH("gsl",[1]OUT_TransportEnergyCons!$C$3:$C$1000))*1,[1]OUT_TransportEnergyCons!E$3:E$1000)</f>
        <v>0.76867288744983864</v>
      </c>
      <c r="H1556" s="1" cm="1">
        <f t="array" ref="H1556">SUMPRODUCT(("TFLGV-ICEGSL"=[1]OUT_TransportEnergyCons!$A$3:$A$1000)*1,("Var_Fin"=[1]OUT_TransportEnergyCons!$B$3:$B$1000)*1,ISNUMBER(SEARCH("gsl",[1]OUT_TransportEnergyCons!$C$3:$C$1000))*1,[1]OUT_TransportEnergyCons!F$3:F$1000)</f>
        <v>1.213499496804175</v>
      </c>
      <c r="I1556" s="1" cm="1">
        <f t="array" ref="I1556">SUMPRODUCT(("TFLGV-ICEGSL"=[1]OUT_TransportEnergyCons!$A$3:$A$1000)*1,("Var_Fin"=[1]OUT_TransportEnergyCons!$B$3:$B$1000)*1,ISNUMBER(SEARCH("gsl",[1]OUT_TransportEnergyCons!$C$3:$C$1000))*1,[1]OUT_TransportEnergyCons!G$3:G$1000)</f>
        <v>1.7654554603817159</v>
      </c>
      <c r="J1556" s="1" cm="1">
        <f t="array" ref="J1556">SUMPRODUCT(("TFLGV-ICEGSL"=[1]OUT_TransportEnergyCons!$A$3:$A$1000)*1,("Var_Fin"=[1]OUT_TransportEnergyCons!$B$3:$B$1000)*1,ISNUMBER(SEARCH("gsl",[1]OUT_TransportEnergyCons!$C$3:$C$1000))*1,[1]OUT_TransportEnergyCons!H$3:H$1000)</f>
        <v>1.3644080148916613</v>
      </c>
      <c r="K1556" s="1" cm="1">
        <f t="array" ref="K1556">SUMPRODUCT(("TFLGV-ICEGSL"=[1]OUT_TransportEnergyCons!$A$3:$A$1000)*1,("Var_Fin"=[1]OUT_TransportEnergyCons!$B$3:$B$1000)*1,ISNUMBER(SEARCH("gsl",[1]OUT_TransportEnergyCons!$C$3:$C$1000))*1,[1]OUT_TransportEnergyCons!I$3:I$1000)</f>
        <v>1.6517424963587872</v>
      </c>
    </row>
    <row r="1557" spans="2:11" x14ac:dyDescent="0.35">
      <c r="B1557" t="str">
        <f t="shared" si="948"/>
        <v>SPS4</v>
      </c>
      <c r="C1557" t="str">
        <f t="shared" si="953"/>
        <v>CH</v>
      </c>
      <c r="D1557" t="s">
        <v>1547</v>
      </c>
      <c r="E1557" t="str">
        <f t="shared" si="955"/>
        <v>PJ/yr.</v>
      </c>
      <c r="F1557" s="1">
        <f>SUM(F1562:F1564)</f>
        <v>15.404835654745053</v>
      </c>
      <c r="G1557" s="1">
        <f t="shared" ref="G1557:K1557" si="960">SUM(G1562:G1564)</f>
        <v>12.868333119001258</v>
      </c>
      <c r="H1557" s="1">
        <f t="shared" si="960"/>
        <v>11.971202507800307</v>
      </c>
      <c r="I1557" s="1">
        <f t="shared" si="960"/>
        <v>8.2893703933258571</v>
      </c>
      <c r="J1557" s="1">
        <f t="shared" si="960"/>
        <v>2.782772704221423</v>
      </c>
      <c r="K1557" s="1">
        <f t="shared" si="960"/>
        <v>2.8827426006504453</v>
      </c>
    </row>
    <row r="1558" spans="2:11" x14ac:dyDescent="0.35">
      <c r="B1558" t="str">
        <f t="shared" si="948"/>
        <v>SPS4</v>
      </c>
      <c r="C1558" t="str">
        <f t="shared" si="953"/>
        <v>CH</v>
      </c>
      <c r="D1558" t="s">
        <v>1548</v>
      </c>
      <c r="E1558" t="str">
        <f t="shared" si="955"/>
        <v>PJ/yr.</v>
      </c>
      <c r="F1558" s="1">
        <f>F1557-F1559</f>
        <v>15.022034027270246</v>
      </c>
      <c r="G1558" s="1">
        <f t="shared" ref="G1558:K1558" si="961">G1557-G1559</f>
        <v>12.532974949746382</v>
      </c>
      <c r="H1558" s="1">
        <f t="shared" si="961"/>
        <v>11.434045610539785</v>
      </c>
      <c r="I1558" s="1">
        <f t="shared" si="961"/>
        <v>7.9198713418716391</v>
      </c>
      <c r="J1558" s="1">
        <f t="shared" si="961"/>
        <v>2.6288435878674017</v>
      </c>
      <c r="K1558" s="1">
        <f t="shared" si="961"/>
        <v>2.7644218490879866</v>
      </c>
    </row>
    <row r="1559" spans="2:11" x14ac:dyDescent="0.35">
      <c r="B1559" t="str">
        <f t="shared" si="948"/>
        <v>SPS4</v>
      </c>
      <c r="C1559" t="str">
        <f t="shared" si="953"/>
        <v>CH</v>
      </c>
      <c r="D1559" t="s">
        <v>1549</v>
      </c>
      <c r="E1559" t="str">
        <f t="shared" si="955"/>
        <v>PJ/yr.</v>
      </c>
      <c r="F1559" s="1">
        <f>SUM(F1560:F1561)</f>
        <v>0.38280162747480628</v>
      </c>
      <c r="G1559" s="1">
        <f t="shared" ref="G1559:K1559" si="962">SUM(G1560:G1561)</f>
        <v>0.33535816925487544</v>
      </c>
      <c r="H1559" s="1">
        <f t="shared" si="962"/>
        <v>0.53715689726052174</v>
      </c>
      <c r="I1559" s="1">
        <f t="shared" si="962"/>
        <v>0.36949905145421769</v>
      </c>
      <c r="J1559" s="1">
        <f t="shared" si="962"/>
        <v>0.15392911635402151</v>
      </c>
      <c r="K1559" s="1">
        <f t="shared" si="962"/>
        <v>0.11832075156245876</v>
      </c>
    </row>
    <row r="1560" spans="2:11" x14ac:dyDescent="0.35">
      <c r="B1560" t="str">
        <f t="shared" si="948"/>
        <v>SPS4</v>
      </c>
      <c r="C1560" t="str">
        <f t="shared" si="953"/>
        <v>CH</v>
      </c>
      <c r="D1560" t="s">
        <v>1550</v>
      </c>
      <c r="E1560" t="str">
        <f t="shared" si="955"/>
        <v>PJ/yr.</v>
      </c>
      <c r="F1560" s="1">
        <f>[1]Transport!B$26/SUM([1]Transport!B$22,[1]Transport!B$26)*F1557*(F$33+F$580)/(F$33+F$580+F$36)</f>
        <v>0.38280162747480628</v>
      </c>
      <c r="G1560" s="1">
        <f>[1]Transport!C$26/SUM([1]Transport!C$22,[1]Transport!C$26)*G1557*(G$33+G$580)/(G$33+G$580+G$36)</f>
        <v>0.33535816925487544</v>
      </c>
      <c r="H1560" s="1">
        <f>[1]Transport!D$26/SUM([1]Transport!D$22,[1]Transport!D$26)*H1557*(H$33+H$580)/(H$33+H$580+H$36)</f>
        <v>0.53715689726052174</v>
      </c>
      <c r="I1560" s="1">
        <f>[1]Transport!E$26/SUM([1]Transport!E$22,[1]Transport!E$26)*I1557*(I$33+I$580)/(I$33+I$580+I$36)</f>
        <v>0.36949905145421769</v>
      </c>
      <c r="J1560" s="1">
        <f>[1]Transport!F$26/SUM([1]Transport!F$22,[1]Transport!F$26)*J1557*(J$33+J$580)/(J$33+J$580+J$36)</f>
        <v>9.8799773456542228E-2</v>
      </c>
      <c r="K1560" s="1">
        <f>[1]Transport!G$26/SUM([1]Transport!G$22,[1]Transport!G$26)*K1557*(K$33+K$580)/(K$33+K$580+K$36)</f>
        <v>0.11832075156245876</v>
      </c>
    </row>
    <row r="1561" spans="2:11" x14ac:dyDescent="0.35">
      <c r="B1561" t="str">
        <f t="shared" si="948"/>
        <v>SPS4</v>
      </c>
      <c r="C1561" t="str">
        <f t="shared" si="953"/>
        <v>CH</v>
      </c>
      <c r="D1561" t="s">
        <v>1551</v>
      </c>
      <c r="E1561" t="str">
        <f t="shared" si="955"/>
        <v>PJ/yr.</v>
      </c>
      <c r="F1561" s="1">
        <f>(F$36+F$716)/([1]Transport!B$22+[1]Transport!B$26)*F1557</f>
        <v>0</v>
      </c>
      <c r="G1561" s="1">
        <f>(G$36+G$716)/([1]Transport!C$22+[1]Transport!C$26)*G1557</f>
        <v>0</v>
      </c>
      <c r="H1561" s="1">
        <f>(H$36+H$716)/([1]Transport!D$22+[1]Transport!D$26)*H1557</f>
        <v>0</v>
      </c>
      <c r="I1561" s="1">
        <f>(I$36+I$716)/([1]Transport!E$22+[1]Transport!E$26)*I1557</f>
        <v>0</v>
      </c>
      <c r="J1561" s="1">
        <f>(J$36+J$716)/([1]Transport!F$22+[1]Transport!F$26)*J1557</f>
        <v>5.5129342897479276E-2</v>
      </c>
      <c r="K1561" s="1">
        <f>(K$36+K$716)/([1]Transport!G$22+[1]Transport!G$26)*K1557</f>
        <v>0</v>
      </c>
    </row>
    <row r="1562" spans="2:11" x14ac:dyDescent="0.35">
      <c r="B1562" t="str">
        <f t="shared" si="948"/>
        <v>SPS4</v>
      </c>
      <c r="C1562" t="str">
        <f t="shared" si="953"/>
        <v>CH</v>
      </c>
      <c r="D1562" t="s">
        <v>1552</v>
      </c>
      <c r="E1562" t="str">
        <f t="shared" si="955"/>
        <v>PJ/yr.</v>
      </c>
      <c r="F1562" s="1" cm="1">
        <f t="array" ref="F1562">SUMPRODUCT(("TFLGV-ICEdslExt"=[1]OUT_TransportEnergyCons!$A$3:$A$1000)*1,("Var_Fin"=[1]OUT_TransportEnergyCons!$B$3:$B$1000)*1,ISNUMBER(SEARCH("dsl",[1]OUT_TransportEnergyCons!$C$3:$C$1000))*1,[1]OUT_TransportEnergyCons!D$3:D$1000)</f>
        <v>10.958934851007754</v>
      </c>
      <c r="G1562" s="1" cm="1">
        <f t="array" ref="G1562">SUMPRODUCT(("TFLGV-ICEdslExt"=[1]OUT_TransportEnergyCons!$A$3:$A$1000)*1,("Var_Fin"=[1]OUT_TransportEnergyCons!$B$3:$B$1000)*1,ISNUMBER(SEARCH("dsl",[1]OUT_TransportEnergyCons!$C$3:$C$1000))*1,[1]OUT_TransportEnergyCons!E$3:E$1000)</f>
        <v>7.4392809320376667</v>
      </c>
      <c r="H1562" s="1" cm="1">
        <f t="array" ref="H1562">SUMPRODUCT(("TFLGV-ICEdslExt"=[1]OUT_TransportEnergyCons!$A$3:$A$1000)*1,("Var_Fin"=[1]OUT_TransportEnergyCons!$B$3:$B$1000)*1,ISNUMBER(SEARCH("dsl",[1]OUT_TransportEnergyCons!$C$3:$C$1000))*1,[1]OUT_TransportEnergyCons!F$3:F$1000)</f>
        <v>5.6700308786256937</v>
      </c>
      <c r="I1562" s="1" cm="1">
        <f t="array" ref="I1562">SUMPRODUCT(("TFLGV-ICEdslExt"=[1]OUT_TransportEnergyCons!$A$3:$A$1000)*1,("Var_Fin"=[1]OUT_TransportEnergyCons!$B$3:$B$1000)*1,ISNUMBER(SEARCH("dsl",[1]OUT_TransportEnergyCons!$C$3:$C$1000))*1,[1]OUT_TransportEnergyCons!G$3:G$1000)</f>
        <v>2.7255939355373413</v>
      </c>
      <c r="J1562" s="1" cm="1">
        <f t="array" ref="J1562">SUMPRODUCT(("TFLGV-ICEdslExt"=[1]OUT_TransportEnergyCons!$A$3:$A$1000)*1,("Var_Fin"=[1]OUT_TransportEnergyCons!$B$3:$B$1000)*1,ISNUMBER(SEARCH("dsl",[1]OUT_TransportEnergyCons!$C$3:$C$1000))*1,[1]OUT_TransportEnergyCons!H$3:H$1000)</f>
        <v>0</v>
      </c>
      <c r="K1562" s="1" cm="1">
        <f t="array" ref="K1562">SUMPRODUCT(("TFLGV-ICEdslExt"=[1]OUT_TransportEnergyCons!$A$3:$A$1000)*1,("Var_Fin"=[1]OUT_TransportEnergyCons!$B$3:$B$1000)*1,ISNUMBER(SEARCH("dsl",[1]OUT_TransportEnergyCons!$C$3:$C$1000))*1,[1]OUT_TransportEnergyCons!I$3:I$1000)</f>
        <v>0</v>
      </c>
    </row>
    <row r="1563" spans="2:11" x14ac:dyDescent="0.35">
      <c r="B1563" t="str">
        <f t="shared" si="948"/>
        <v>SPS4</v>
      </c>
      <c r="C1563" t="str">
        <f t="shared" si="953"/>
        <v>CH</v>
      </c>
      <c r="D1563" t="s">
        <v>1553</v>
      </c>
      <c r="E1563" t="str">
        <f t="shared" si="955"/>
        <v>PJ/yr.</v>
      </c>
      <c r="F1563" s="1" cm="1">
        <f t="array" ref="F1563">SUMPRODUCT(("TFLGV-ICEdsl"=[1]OUT_TransportEnergyCons!$A$3:$A$1000)*1,("Var_Fin"=[1]OUT_TransportEnergyCons!$B$3:$B$1000)*1,ISNUMBER(SEARCH("dsl",[1]OUT_TransportEnergyCons!$C$3:$C$1000))*1,[1]OUT_TransportEnergyCons!D$3:D$1000)</f>
        <v>4.4459008037372998</v>
      </c>
      <c r="G1563" s="1" cm="1">
        <f t="array" ref="G1563">SUMPRODUCT(("TFLGV-ICEdsl"=[1]OUT_TransportEnergyCons!$A$3:$A$1000)*1,("Var_Fin"=[1]OUT_TransportEnergyCons!$B$3:$B$1000)*1,ISNUMBER(SEARCH("dsl",[1]OUT_TransportEnergyCons!$C$3:$C$1000))*1,[1]OUT_TransportEnergyCons!E$3:E$1000)</f>
        <v>5.2482892805463282</v>
      </c>
      <c r="H1563" s="1" cm="1">
        <f t="array" ref="H1563">SUMPRODUCT(("TFLGV-ICEdsl"=[1]OUT_TransportEnergyCons!$A$3:$A$1000)*1,("Var_Fin"=[1]OUT_TransportEnergyCons!$B$3:$B$1000)*1,ISNUMBER(SEARCH("dsl",[1]OUT_TransportEnergyCons!$C$3:$C$1000))*1,[1]OUT_TransportEnergyCons!F$3:F$1000)</f>
        <v>5.2488533576909777</v>
      </c>
      <c r="I1563" s="1" cm="1">
        <f t="array" ref="I1563">SUMPRODUCT(("TFLGV-ICEdsl"=[1]OUT_TransportEnergyCons!$A$3:$A$1000)*1,("Var_Fin"=[1]OUT_TransportEnergyCons!$B$3:$B$1000)*1,ISNUMBER(SEARCH("dsl",[1]OUT_TransportEnergyCons!$C$3:$C$1000))*1,[1]OUT_TransportEnergyCons!G$3:G$1000)</f>
        <v>2.0973781885972538</v>
      </c>
      <c r="J1563" s="1" cm="1">
        <f t="array" ref="J1563">SUMPRODUCT(("TFLGV-ICEdsl"=[1]OUT_TransportEnergyCons!$A$3:$A$1000)*1,("Var_Fin"=[1]OUT_TransportEnergyCons!$B$3:$B$1000)*1,ISNUMBER(SEARCH("dsl",[1]OUT_TransportEnergyCons!$C$3:$C$1000))*1,[1]OUT_TransportEnergyCons!H$3:H$1000)</f>
        <v>0.3602247580293152</v>
      </c>
      <c r="K1563" s="1" cm="1">
        <f t="array" ref="K1563">SUMPRODUCT(("TFLGV-ICEdsl"=[1]OUT_TransportEnergyCons!$A$3:$A$1000)*1,("Var_Fin"=[1]OUT_TransportEnergyCons!$B$3:$B$1000)*1,ISNUMBER(SEARCH("dsl",[1]OUT_TransportEnergyCons!$C$3:$C$1000))*1,[1]OUT_TransportEnergyCons!I$3:I$1000)</f>
        <v>6.4740315848633156E-2</v>
      </c>
    </row>
    <row r="1564" spans="2:11" x14ac:dyDescent="0.35">
      <c r="B1564" t="str">
        <f t="shared" si="948"/>
        <v>SPS4</v>
      </c>
      <c r="C1564" t="str">
        <f t="shared" si="953"/>
        <v>CH</v>
      </c>
      <c r="D1564" t="s">
        <v>1554</v>
      </c>
      <c r="E1564" t="str">
        <f t="shared" si="955"/>
        <v>PJ/yr.</v>
      </c>
      <c r="F1564" s="1" cm="1">
        <f t="array" ref="F1564">SUMPRODUCT(("TFLGV-HYBDSL"=[1]OUT_TransportEnergyCons!$A$3:$A$1000)*1,("Var_Fin"=[1]OUT_TransportEnergyCons!$B$3:$B$1000)*1,ISNUMBER(SEARCH("dsl",[1]OUT_TransportEnergyCons!$C$3:$C$1000))*1,[1]OUT_TransportEnergyCons!D$3:D$1000)</f>
        <v>0</v>
      </c>
      <c r="G1564" s="1" cm="1">
        <f t="array" ref="G1564">SUMPRODUCT(("TFLGV-HYBDSL"=[1]OUT_TransportEnergyCons!$A$3:$A$1000)*1,("Var_Fin"=[1]OUT_TransportEnergyCons!$B$3:$B$1000)*1,ISNUMBER(SEARCH("dsl",[1]OUT_TransportEnergyCons!$C$3:$C$1000))*1,[1]OUT_TransportEnergyCons!E$3:E$1000)</f>
        <v>0.18076290641726314</v>
      </c>
      <c r="H1564" s="1" cm="1">
        <f t="array" ref="H1564">SUMPRODUCT(("TFLGV-HYBDSL"=[1]OUT_TransportEnergyCons!$A$3:$A$1000)*1,("Var_Fin"=[1]OUT_TransportEnergyCons!$B$3:$B$1000)*1,ISNUMBER(SEARCH("dsl",[1]OUT_TransportEnergyCons!$C$3:$C$1000))*1,[1]OUT_TransportEnergyCons!F$3:F$1000)</f>
        <v>1.0523182714836348</v>
      </c>
      <c r="I1564" s="1" cm="1">
        <f t="array" ref="I1564">SUMPRODUCT(("TFLGV-HYBDSL"=[1]OUT_TransportEnergyCons!$A$3:$A$1000)*1,("Var_Fin"=[1]OUT_TransportEnergyCons!$B$3:$B$1000)*1,ISNUMBER(SEARCH("dsl",[1]OUT_TransportEnergyCons!$C$3:$C$1000))*1,[1]OUT_TransportEnergyCons!G$3:G$1000)</f>
        <v>3.4663982691912629</v>
      </c>
      <c r="J1564" s="1" cm="1">
        <f t="array" ref="J1564">SUMPRODUCT(("TFLGV-HYBDSL"=[1]OUT_TransportEnergyCons!$A$3:$A$1000)*1,("Var_Fin"=[1]OUT_TransportEnergyCons!$B$3:$B$1000)*1,ISNUMBER(SEARCH("dsl",[1]OUT_TransportEnergyCons!$C$3:$C$1000))*1,[1]OUT_TransportEnergyCons!H$3:H$1000)</f>
        <v>2.422547946192108</v>
      </c>
      <c r="K1564" s="1" cm="1">
        <f t="array" ref="K1564">SUMPRODUCT(("TFLGV-HYBDSL"=[1]OUT_TransportEnergyCons!$A$3:$A$1000)*1,("Var_Fin"=[1]OUT_TransportEnergyCons!$B$3:$B$1000)*1,ISNUMBER(SEARCH("dsl",[1]OUT_TransportEnergyCons!$C$3:$C$1000))*1,[1]OUT_TransportEnergyCons!I$3:I$1000)</f>
        <v>2.8180022848018123</v>
      </c>
    </row>
    <row r="1565" spans="2:11" x14ac:dyDescent="0.35">
      <c r="B1565" t="str">
        <f t="shared" si="948"/>
        <v>SPS4</v>
      </c>
      <c r="C1565" t="str">
        <f t="shared" si="953"/>
        <v>CH</v>
      </c>
      <c r="D1565" t="s">
        <v>1555</v>
      </c>
      <c r="E1565" t="str">
        <f t="shared" si="955"/>
        <v>PJ/yr.</v>
      </c>
      <c r="F1565" s="1">
        <f>F1570</f>
        <v>2.5349036213372804E-2</v>
      </c>
      <c r="G1565" s="1">
        <f t="shared" ref="G1565:K1565" si="963">G1570</f>
        <v>2.2397892788707099E-2</v>
      </c>
      <c r="H1565" s="1">
        <f t="shared" si="963"/>
        <v>3.1483799622082961E-2</v>
      </c>
      <c r="I1565" s="1">
        <f t="shared" si="963"/>
        <v>1.5801632473586716E-4</v>
      </c>
      <c r="J1565" s="1">
        <f t="shared" si="963"/>
        <v>1.5930135604059421E-4</v>
      </c>
      <c r="K1565" s="1">
        <f t="shared" si="963"/>
        <v>1.3614152703021208E-4</v>
      </c>
    </row>
    <row r="1566" spans="2:11" x14ac:dyDescent="0.35">
      <c r="B1566" t="str">
        <f t="shared" si="948"/>
        <v>SPS4</v>
      </c>
      <c r="C1566" t="str">
        <f t="shared" si="953"/>
        <v>CH</v>
      </c>
      <c r="D1566" t="s">
        <v>1556</v>
      </c>
      <c r="E1566" t="str">
        <f t="shared" si="955"/>
        <v>PJ/yr.</v>
      </c>
      <c r="F1566" s="1">
        <f>F1565-F1567</f>
        <v>2.3454596404727291E-2</v>
      </c>
      <c r="G1566" s="1">
        <f t="shared" ref="G1566:K1566" si="964">G1565-G1567</f>
        <v>2.0220857044382496E-2</v>
      </c>
      <c r="H1566" s="1">
        <f t="shared" si="964"/>
        <v>2.8484152923895827E-2</v>
      </c>
      <c r="I1566" s="1">
        <f t="shared" si="964"/>
        <v>1.509765229651701E-4</v>
      </c>
      <c r="J1566" s="1">
        <f t="shared" si="964"/>
        <v>-6.8714144145817675E-3</v>
      </c>
      <c r="K1566" s="1">
        <f t="shared" si="964"/>
        <v>-1.7508640178075619E-2</v>
      </c>
    </row>
    <row r="1567" spans="2:11" x14ac:dyDescent="0.35">
      <c r="B1567" t="str">
        <f t="shared" si="948"/>
        <v>SPS4</v>
      </c>
      <c r="C1567" t="str">
        <f t="shared" si="953"/>
        <v>CH</v>
      </c>
      <c r="D1567" t="s">
        <v>1557</v>
      </c>
      <c r="E1567" t="str">
        <f t="shared" si="955"/>
        <v>PJ/yr.</v>
      </c>
      <c r="F1567" s="1">
        <f>SUM(F1568:F1569)</f>
        <v>1.8944398086455131E-3</v>
      </c>
      <c r="G1567" s="1">
        <f t="shared" ref="G1567:K1567" si="965">SUM(G1568:G1569)</f>
        <v>2.1770357443246023E-3</v>
      </c>
      <c r="H1567" s="1">
        <f t="shared" si="965"/>
        <v>2.9996466981871348E-3</v>
      </c>
      <c r="I1567" s="1">
        <f t="shared" si="965"/>
        <v>7.0398017706970516E-6</v>
      </c>
      <c r="J1567" s="1">
        <f t="shared" si="965"/>
        <v>7.0307157706223618E-3</v>
      </c>
      <c r="K1567" s="1">
        <f t="shared" si="965"/>
        <v>1.764478170510583E-2</v>
      </c>
    </row>
    <row r="1568" spans="2:11" x14ac:dyDescent="0.35">
      <c r="B1568" t="str">
        <f t="shared" si="948"/>
        <v>SPS4</v>
      </c>
      <c r="C1568" t="str">
        <f t="shared" si="953"/>
        <v>CH</v>
      </c>
      <c r="D1568" t="s">
        <v>1558</v>
      </c>
      <c r="E1568" t="str">
        <f t="shared" si="955"/>
        <v>PJ/yr.</v>
      </c>
      <c r="F1568" s="1">
        <f>[1]Transport!B$27/SUM([1]Transport!B$24,[1]Transport!B$27)*F1565*(F$45+F$612)/(F$45+F$612+F$47)</f>
        <v>1.8944398086455131E-3</v>
      </c>
      <c r="G1568" s="1">
        <f>[1]Transport!C$27/SUM([1]Transport!C$24,[1]Transport!C$27)*G1565*(G$45+G$612)/(G$45+G$612+G$47)</f>
        <v>2.1770357443246023E-3</v>
      </c>
      <c r="H1568" s="1">
        <f>[1]Transport!D$27/SUM([1]Transport!D$24,[1]Transport!D$27)*H1565*(H$45+H$612)/(H$45+H$612+H$47)</f>
        <v>2.9996466981871348E-3</v>
      </c>
      <c r="I1568" s="1">
        <f>[1]Transport!E$27/SUM([1]Transport!E$24,[1]Transport!E$27)*I1565*(I$45+I$612)/(I$45+I$612+I$47)</f>
        <v>7.0398017706970516E-6</v>
      </c>
      <c r="J1568" s="1">
        <f>[1]Transport!F$27/SUM([1]Transport!F$24,[1]Transport!F$27)*J1565*(J$45+J$612)/(J$45+J$612+J$47)</f>
        <v>2.8533452901072505E-6</v>
      </c>
      <c r="K1568" s="1">
        <f>[1]Transport!G$27/SUM([1]Transport!G$24,[1]Transport!G$27)*K1565*(K$45+K$612)/(K$45+K$612+K$47)</f>
        <v>2.0504702675737246E-6</v>
      </c>
    </row>
    <row r="1569" spans="2:11" x14ac:dyDescent="0.35">
      <c r="B1569" t="str">
        <f t="shared" si="948"/>
        <v>SPS4</v>
      </c>
      <c r="C1569" t="str">
        <f t="shared" si="953"/>
        <v>CH</v>
      </c>
      <c r="D1569" t="s">
        <v>1559</v>
      </c>
      <c r="E1569" t="str">
        <f t="shared" si="955"/>
        <v>PJ/yr.</v>
      </c>
      <c r="F1569" s="1">
        <f>(F$47+F$714)/([1]Transport!B$24+[1]Transport!B$27)*F1565</f>
        <v>0</v>
      </c>
      <c r="G1569" s="1">
        <f>(G$47+G$714)/([1]Transport!C$24+[1]Transport!C$27)*G1565</f>
        <v>0</v>
      </c>
      <c r="H1569" s="1">
        <f>(H$47+H$714)/([1]Transport!D$24+[1]Transport!D$27)*H1565</f>
        <v>0</v>
      </c>
      <c r="I1569" s="1">
        <f>(I$47+I$714)/([1]Transport!E$24+[1]Transport!E$27)*I1565</f>
        <v>0</v>
      </c>
      <c r="J1569" s="1">
        <f>(J$47+J$714)/([1]Transport!F$24+[1]Transport!F$27)*J1565</f>
        <v>7.0278624253322548E-3</v>
      </c>
      <c r="K1569" s="1">
        <f>(K$47+K$714)/([1]Transport!G$24+[1]Transport!G$27)*K1565</f>
        <v>1.7642731234838255E-2</v>
      </c>
    </row>
    <row r="1570" spans="2:11" x14ac:dyDescent="0.35">
      <c r="B1570" t="str">
        <f t="shared" si="948"/>
        <v>SPS4</v>
      </c>
      <c r="C1570" t="str">
        <f t="shared" si="953"/>
        <v>CH</v>
      </c>
      <c r="D1570" t="s">
        <v>1560</v>
      </c>
      <c r="E1570" t="str">
        <f t="shared" si="955"/>
        <v>PJ/yr.</v>
      </c>
      <c r="F1570" s="1" cm="1">
        <f t="array" ref="F1570">SUMPRODUCT(("TFLGV-ICENGA"=[1]OUT_TransportEnergyCons!$A$3:$A$1000)*1,("Var_Fin"=[1]OUT_TransportEnergyCons!$B$3:$B$1000)*1,ISNUMBER(SEARCH("nga",[1]OUT_TransportEnergyCons!$C$3:$C$1000))*1,[1]OUT_TransportEnergyCons!D$3:D$1000)</f>
        <v>2.5349036213372804E-2</v>
      </c>
      <c r="G1570" s="1" cm="1">
        <f t="array" ref="G1570">SUMPRODUCT(("TFLGV-ICENGA"=[1]OUT_TransportEnergyCons!$A$3:$A$1000)*1,("Var_Fin"=[1]OUT_TransportEnergyCons!$B$3:$B$1000)*1,ISNUMBER(SEARCH("nga",[1]OUT_TransportEnergyCons!$C$3:$C$1000))*1,[1]OUT_TransportEnergyCons!E$3:E$1000)</f>
        <v>2.2397892788707099E-2</v>
      </c>
      <c r="H1570" s="1" cm="1">
        <f t="array" ref="H1570">SUMPRODUCT(("TFLGV-ICENGA"=[1]OUT_TransportEnergyCons!$A$3:$A$1000)*1,("Var_Fin"=[1]OUT_TransportEnergyCons!$B$3:$B$1000)*1,ISNUMBER(SEARCH("nga",[1]OUT_TransportEnergyCons!$C$3:$C$1000))*1,[1]OUT_TransportEnergyCons!F$3:F$1000)</f>
        <v>3.1483799622082961E-2</v>
      </c>
      <c r="I1570" s="1" cm="1">
        <f t="array" ref="I1570">SUMPRODUCT(("TFLGV-ICENGA"=[1]OUT_TransportEnergyCons!$A$3:$A$1000)*1,("Var_Fin"=[1]OUT_TransportEnergyCons!$B$3:$B$1000)*1,ISNUMBER(SEARCH("nga",[1]OUT_TransportEnergyCons!$C$3:$C$1000))*1,[1]OUT_TransportEnergyCons!G$3:G$1000)</f>
        <v>1.5801632473586716E-4</v>
      </c>
      <c r="J1570" s="1" cm="1">
        <f t="array" ref="J1570">SUMPRODUCT(("TFLGV-ICENGA"=[1]OUT_TransportEnergyCons!$A$3:$A$1000)*1,("Var_Fin"=[1]OUT_TransportEnergyCons!$B$3:$B$1000)*1,ISNUMBER(SEARCH("nga",[1]OUT_TransportEnergyCons!$C$3:$C$1000))*1,[1]OUT_TransportEnergyCons!H$3:H$1000)</f>
        <v>1.5930135604059421E-4</v>
      </c>
      <c r="K1570" s="1" cm="1">
        <f t="array" ref="K1570">SUMPRODUCT(("TFLGV-ICENGA"=[1]OUT_TransportEnergyCons!$A$3:$A$1000)*1,("Var_Fin"=[1]OUT_TransportEnergyCons!$B$3:$B$1000)*1,ISNUMBER(SEARCH("nga",[1]OUT_TransportEnergyCons!$C$3:$C$1000))*1,[1]OUT_TransportEnergyCons!I$3:I$1000)</f>
        <v>1.3614152703021208E-4</v>
      </c>
    </row>
    <row r="1571" spans="2:11" x14ac:dyDescent="0.35">
      <c r="B1571" s="2" t="str">
        <f t="shared" si="948"/>
        <v>SPS4</v>
      </c>
      <c r="C1571" s="2" t="str">
        <f t="shared" si="953"/>
        <v>CH</v>
      </c>
      <c r="D1571" s="2" t="s">
        <v>1561</v>
      </c>
      <c r="E1571" s="2" t="s">
        <v>1518</v>
      </c>
      <c r="F1571" s="3">
        <f>SUM(F1572:F1580)</f>
        <v>4.7787867141518481</v>
      </c>
      <c r="G1571" s="3">
        <f t="shared" ref="G1571:K1571" si="966">SUM(G1572:G1580)</f>
        <v>4.7701176140886981</v>
      </c>
      <c r="H1571" s="3">
        <f t="shared" si="966"/>
        <v>4.7077390745765317</v>
      </c>
      <c r="I1571" s="3">
        <f t="shared" si="966"/>
        <v>4.6467050217474064</v>
      </c>
      <c r="J1571" s="3">
        <f t="shared" si="966"/>
        <v>4.9977914899209024</v>
      </c>
      <c r="K1571" s="3">
        <f t="shared" si="966"/>
        <v>5.4146120541794707</v>
      </c>
    </row>
    <row r="1572" spans="2:11" x14ac:dyDescent="0.35">
      <c r="B1572" t="str">
        <f t="shared" si="948"/>
        <v>SPS4</v>
      </c>
      <c r="C1572" t="str">
        <f t="shared" si="953"/>
        <v>CH</v>
      </c>
      <c r="D1572" t="s">
        <v>1562</v>
      </c>
      <c r="E1572" t="s">
        <v>1518</v>
      </c>
      <c r="F1572" s="1" cm="1">
        <f t="array" ref="F1572">SUMPRODUCT(("TFLGV-BeVELCExt"=[1]OUT_TransportEnergyCons!$A$3:$A$1000)*1,("var_fout"=[1]OUT_TransportEnergyCons!$B$3:$B$1000)*1,ISNUMBER(SEARCH("TFLGV",[1]OUT_TransportEnergyCons!$C$3:$C$1000))*1,[1]OUT_TransportEnergyCons!D$3:D$1000)</f>
        <v>2.7900506639303903E-2</v>
      </c>
      <c r="G1572" s="1" cm="1">
        <f t="array" ref="G1572">SUMPRODUCT(("TFLGV-BeVELCExt"=[1]OUT_TransportEnergyCons!$A$3:$A$1000)*1,("var_fout"=[1]OUT_TransportEnergyCons!$B$3:$B$1000)*1,ISNUMBER(SEARCH("TFLGV",[1]OUT_TransportEnergyCons!$C$3:$C$1000))*1,[1]OUT_TransportEnergyCons!E$3:E$1000)</f>
        <v>2.4191899772286689E-2</v>
      </c>
      <c r="H1572" s="1" cm="1">
        <f t="array" ref="H1572">SUMPRODUCT(("TFLGV-BeVELCExt"=[1]OUT_TransportEnergyCons!$A$3:$A$1000)*1,("var_fout"=[1]OUT_TransportEnergyCons!$B$3:$B$1000)*1,ISNUMBER(SEARCH("TFLGV",[1]OUT_TransportEnergyCons!$C$3:$C$1000))*1,[1]OUT_TransportEnergyCons!F$3:F$1000)</f>
        <v>1.8617310352219349E-2</v>
      </c>
      <c r="I1572" s="1" cm="1">
        <f t="array" ref="I1572">SUMPRODUCT(("TFLGV-BeVELCExt"=[1]OUT_TransportEnergyCons!$A$3:$A$1000)*1,("var_fout"=[1]OUT_TransportEnergyCons!$B$3:$B$1000)*1,ISNUMBER(SEARCH("TFLGV",[1]OUT_TransportEnergyCons!$C$3:$C$1000))*1,[1]OUT_TransportEnergyCons!G$3:G$1000)</f>
        <v>9.2956364016414557E-3</v>
      </c>
      <c r="J1572" s="1" cm="1">
        <f t="array" ref="J1572">SUMPRODUCT(("TFLGV-BeVELCExt"=[1]OUT_TransportEnergyCons!$A$3:$A$1000)*1,("var_fout"=[1]OUT_TransportEnergyCons!$B$3:$B$1000)*1,ISNUMBER(SEARCH("TFLGV",[1]OUT_TransportEnergyCons!$C$3:$C$1000))*1,[1]OUT_TransportEnergyCons!H$3:H$1000)</f>
        <v>0</v>
      </c>
      <c r="K1572" s="1" cm="1">
        <f t="array" ref="K1572">SUMPRODUCT(("TFLGV-BeVELCExt"=[1]OUT_TransportEnergyCons!$A$3:$A$1000)*1,("var_fout"=[1]OUT_TransportEnergyCons!$B$3:$B$1000)*1,ISNUMBER(SEARCH("TFLGV",[1]OUT_TransportEnergyCons!$C$3:$C$1000))*1,[1]OUT_TransportEnergyCons!I$3:I$1000)</f>
        <v>0</v>
      </c>
    </row>
    <row r="1573" spans="2:11" x14ac:dyDescent="0.35">
      <c r="B1573" t="str">
        <f t="shared" si="948"/>
        <v>SPS4</v>
      </c>
      <c r="C1573" t="str">
        <f t="shared" si="953"/>
        <v>CH</v>
      </c>
      <c r="D1573" t="s">
        <v>1563</v>
      </c>
      <c r="E1573" t="s">
        <v>1518</v>
      </c>
      <c r="F1573" s="1" cm="1">
        <f t="array" ref="F1573">SUMPRODUCT(("TFLGV-BEVELC"=[1]OUT_TransportEnergyCons!$A$3:$A$1000)*1,("var_fout"=[1]OUT_TransportEnergyCons!$B$3:$B$1000)*1,ISNUMBER(SEARCH("TFLGV",[1]OUT_TransportEnergyCons!$C$3:$C$1000))*1,[1]OUT_TransportEnergyCons!D$3:D$1000)</f>
        <v>2.4070707016888012E-2</v>
      </c>
      <c r="G1573" s="1" cm="1">
        <f t="array" ref="G1573">SUMPRODUCT(("TFLGV-BEVELC"=[1]OUT_TransportEnergyCons!$A$3:$A$1000)*1,("var_fout"=[1]OUT_TransportEnergyCons!$B$3:$B$1000)*1,ISNUMBER(SEARCH("TFLGV",[1]OUT_TransportEnergyCons!$C$3:$C$1000))*1,[1]OUT_TransportEnergyCons!E$3:E$1000)</f>
        <v>7.2702685045630475E-2</v>
      </c>
      <c r="H1573" s="1" cm="1">
        <f t="array" ref="H1573">SUMPRODUCT(("TFLGV-BEVELC"=[1]OUT_TransportEnergyCons!$A$3:$A$1000)*1,("var_fout"=[1]OUT_TransportEnergyCons!$B$3:$B$1000)*1,ISNUMBER(SEARCH("TFLGV",[1]OUT_TransportEnergyCons!$C$3:$C$1000))*1,[1]OUT_TransportEnergyCons!F$3:F$1000)</f>
        <v>0.2217431251715416</v>
      </c>
      <c r="I1573" s="1" cm="1">
        <f t="array" ref="I1573">SUMPRODUCT(("TFLGV-BEVELC"=[1]OUT_TransportEnergyCons!$A$3:$A$1000)*1,("var_fout"=[1]OUT_TransportEnergyCons!$B$3:$B$1000)*1,ISNUMBER(SEARCH("TFLGV",[1]OUT_TransportEnergyCons!$C$3:$C$1000))*1,[1]OUT_TransportEnergyCons!G$3:G$1000)</f>
        <v>0.85881016775542074</v>
      </c>
      <c r="J1573" s="1" cm="1">
        <f t="array" ref="J1573">SUMPRODUCT(("TFLGV-BEVELC"=[1]OUT_TransportEnergyCons!$A$3:$A$1000)*1,("var_fout"=[1]OUT_TransportEnergyCons!$B$3:$B$1000)*1,ISNUMBER(SEARCH("TFLGV",[1]OUT_TransportEnergyCons!$C$3:$C$1000))*1,[1]OUT_TransportEnergyCons!H$3:H$1000)</f>
        <v>3.2790337695306855</v>
      </c>
      <c r="K1573" s="1" cm="1">
        <f t="array" ref="K1573">SUMPRODUCT(("TFLGV-BEVELC"=[1]OUT_TransportEnergyCons!$A$3:$A$1000)*1,("var_fout"=[1]OUT_TransportEnergyCons!$B$3:$B$1000)*1,ISNUMBER(SEARCH("TFLGV",[1]OUT_TransportEnergyCons!$C$3:$C$1000))*1,[1]OUT_TransportEnergyCons!I$3:I$1000)</f>
        <v>3.5138184547035833</v>
      </c>
    </row>
    <row r="1574" spans="2:11" x14ac:dyDescent="0.35">
      <c r="B1574" t="str">
        <f t="shared" si="948"/>
        <v>SPS4</v>
      </c>
      <c r="C1574" t="str">
        <f t="shared" si="953"/>
        <v>CH</v>
      </c>
      <c r="D1574" t="s">
        <v>1564</v>
      </c>
      <c r="E1574" t="s">
        <v>1518</v>
      </c>
      <c r="F1574" s="1" cm="1">
        <f t="array" ref="F1574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4" s="1" cm="1">
        <f t="array" ref="G1574">SUMPRODUCT(("TFLGV-FCLH2O"=[1]OUT_TransportEnergyCons!$A$3:$A$1000)*1,("var_fout"=[1]OUT_TransportEnergyCons!$B$3:$B$1000)*1,ISNUMBER(SEARCH("TFLGV",[1]OUT_TransportEnergyCons!$C$3:$C$1000))*1,[1]OUT_TransportEnergyCons!E$3:E$1000)</f>
        <v>2.6856755122961124E-5</v>
      </c>
      <c r="H1574" s="1" cm="1">
        <f t="array" ref="H1574">SUMPRODUCT(("TFLGV-FCLH2O"=[1]OUT_TransportEnergyCons!$A$3:$A$1000)*1,("var_fout"=[1]OUT_TransportEnergyCons!$B$3:$B$1000)*1,ISNUMBER(SEARCH("TFLGV",[1]OUT_TransportEnergyCons!$C$3:$C$1000))*1,[1]OUT_TransportEnergyCons!F$3:F$1000)</f>
        <v>3.5606069845210139E-5</v>
      </c>
      <c r="I1574" s="1" cm="1">
        <f t="array" ref="I1574">SUMPRODUCT(("TFLGV-FCLH2O"=[1]OUT_TransportEnergyCons!$A$3:$A$1000)*1,("var_fout"=[1]OUT_TransportEnergyCons!$B$3:$B$1000)*1,ISNUMBER(SEARCH("TFLGV",[1]OUT_TransportEnergyCons!$C$3:$C$1000))*1,[1]OUT_TransportEnergyCons!G$3:G$1000)</f>
        <v>1.8387492229711095E-5</v>
      </c>
      <c r="J1574" s="1" cm="1">
        <f t="array" ref="J1574">SUMPRODUCT(("TFLGV-FCLH2O"=[1]OUT_TransportEnergyCons!$A$3:$A$1000)*1,("var_fout"=[1]OUT_TransportEnergyCons!$B$3:$B$1000)*1,ISNUMBER(SEARCH("TFLGV",[1]OUT_TransportEnergyCons!$C$3:$C$1000))*1,[1]OUT_TransportEnergyCons!H$3:H$1000)</f>
        <v>1.6451100854173522E-5</v>
      </c>
      <c r="K1574" s="1" cm="1">
        <f t="array" ref="K1574">SUMPRODUCT(("TFLGV-FCLH2O"=[1]OUT_TransportEnergyCons!$A$3:$A$1000)*1,("var_fout"=[1]OUT_TransportEnergyCons!$B$3:$B$1000)*1,ISNUMBER(SEARCH("TFLGV",[1]OUT_TransportEnergyCons!$C$3:$C$1000))*1,[1]OUT_TransportEnergyCons!I$3:I$1000)</f>
        <v>1.6348768961254738E-5</v>
      </c>
    </row>
    <row r="1575" spans="2:11" x14ac:dyDescent="0.35">
      <c r="B1575" t="str">
        <f t="shared" si="948"/>
        <v>SPS4</v>
      </c>
      <c r="C1575" t="str">
        <f t="shared" si="953"/>
        <v>CH</v>
      </c>
      <c r="D1575" t="s">
        <v>1590</v>
      </c>
      <c r="E1575" t="s">
        <v>1518</v>
      </c>
      <c r="F1575" s="1" cm="1">
        <f t="array" ref="F1575">SUMPRODUCT(("TFLGV-ICEGSLExt"=[1]OUT_TransportEnergyCons!$A$3:$A$1000)*1,("var_fout"=[1]OUT_TransportEnergyCons!$B$3:$B$1000)*1,ISNUMBER(SEARCH("TFLGV",[1]OUT_TransportEnergyCons!$C$3:$C$1000))*1,[1]OUT_TransportEnergyCons!D$3:D$1000)</f>
        <v>0.23113327868567868</v>
      </c>
      <c r="G1575" s="1" cm="1">
        <f t="array" ref="G1575">SUMPRODUCT(("TFLGV-ICEGSLExt"=[1]OUT_TransportEnergyCons!$A$3:$A$1000)*1,("var_fout"=[1]OUT_TransportEnergyCons!$B$3:$B$1000)*1,ISNUMBER(SEARCH("TFLGV",[1]OUT_TransportEnergyCons!$C$3:$C$1000))*1,[1]OUT_TransportEnergyCons!E$3:E$1000)</f>
        <v>0.52396756412983536</v>
      </c>
      <c r="H1575" s="1" cm="1">
        <f t="array" ref="H1575">SUMPRODUCT(("TFLGV-ICEGSLExt"=[1]OUT_TransportEnergyCons!$A$3:$A$1000)*1,("var_fout"=[1]OUT_TransportEnergyCons!$B$3:$B$1000)*1,ISNUMBER(SEARCH("TFLGV",[1]OUT_TransportEnergyCons!$C$3:$C$1000))*1,[1]OUT_TransportEnergyCons!F$3:F$1000)</f>
        <v>0.15553439715771372</v>
      </c>
      <c r="I1575" s="1" cm="1">
        <f t="array" ref="I1575">SUMPRODUCT(("TFLGV-ICEGSLExt"=[1]OUT_TransportEnergyCons!$A$3:$A$1000)*1,("var_fout"=[1]OUT_TransportEnergyCons!$B$3:$B$1000)*1,ISNUMBER(SEARCH("TFLGV",[1]OUT_TransportEnergyCons!$C$3:$C$1000))*1,[1]OUT_TransportEnergyCons!G$3:G$1000)</f>
        <v>7.7023651149026401E-2</v>
      </c>
      <c r="J1575" s="1" cm="1">
        <f t="array" ref="J1575">SUMPRODUCT(("TFLGV-ICEGSLExt"=[1]OUT_TransportEnergyCons!$A$3:$A$1000)*1,("var_fout"=[1]OUT_TransportEnergyCons!$B$3:$B$1000)*1,ISNUMBER(SEARCH("TFLGV",[1]OUT_TransportEnergyCons!$C$3:$C$1000))*1,[1]OUT_TransportEnergyCons!H$3:H$1000)</f>
        <v>0</v>
      </c>
      <c r="K1575" s="1" cm="1">
        <f t="array" ref="K1575">SUMPRODUCT(("TFLGV-ICEGSLExt"=[1]OUT_TransportEnergyCons!$A$3:$A$1000)*1,("var_fout"=[1]OUT_TransportEnergyCons!$B$3:$B$1000)*1,ISNUMBER(SEARCH("TFLGV",[1]OUT_TransportEnergyCons!$C$3:$C$1000))*1,[1]OUT_TransportEnergyCons!I$3:I$1000)</f>
        <v>0</v>
      </c>
    </row>
    <row r="1576" spans="2:11" x14ac:dyDescent="0.35">
      <c r="B1576" t="str">
        <f t="shared" si="948"/>
        <v>SPS4</v>
      </c>
      <c r="C1576" t="str">
        <f t="shared" si="953"/>
        <v>CH</v>
      </c>
      <c r="D1576" t="s">
        <v>1591</v>
      </c>
      <c r="E1576" t="s">
        <v>1518</v>
      </c>
      <c r="F1576" s="1" cm="1">
        <f t="array" ref="F1576">SUMPRODUCT(("TFLGV-ICEGSL"=[1]OUT_TransportEnergyCons!$A$3:$A$1000)*1,("var_fout"=[1]OUT_TransportEnergyCons!$B$3:$B$1000)*1,ISNUMBER(SEARCH("TFLGV",[1]OUT_TransportEnergyCons!$C$3:$C$1000))*1,[1]OUT_TransportEnergyCons!D$3:D$1000)</f>
        <v>0.12778309464208987</v>
      </c>
      <c r="G1576" s="1" cm="1">
        <f t="array" ref="G1576">SUMPRODUCT(("TFLGV-ICEGSL"=[1]OUT_TransportEnergyCons!$A$3:$A$1000)*1,("var_fout"=[1]OUT_TransportEnergyCons!$B$3:$B$1000)*1,ISNUMBER(SEARCH("TFLGV",[1]OUT_TransportEnergyCons!$C$3:$C$1000))*1,[1]OUT_TransportEnergyCons!E$3:E$1000)</f>
        <v>0.26998068013400972</v>
      </c>
      <c r="H1576" s="1" cm="1">
        <f t="array" ref="H1576">SUMPRODUCT(("TFLGV-ICEGSL"=[1]OUT_TransportEnergyCons!$A$3:$A$1000)*1,("var_fout"=[1]OUT_TransportEnergyCons!$B$3:$B$1000)*1,ISNUMBER(SEARCH("TFLGV",[1]OUT_TransportEnergyCons!$C$3:$C$1000))*1,[1]OUT_TransportEnergyCons!F$3:F$1000)</f>
        <v>0.42621695761429929</v>
      </c>
      <c r="I1576" s="1" cm="1">
        <f t="array" ref="I1576">SUMPRODUCT(("TFLGV-ICEGSL"=[1]OUT_TransportEnergyCons!$A$3:$A$1000)*1,("var_fout"=[1]OUT_TransportEnergyCons!$B$3:$B$1000)*1,ISNUMBER(SEARCH("TFLGV",[1]OUT_TransportEnergyCons!$C$3:$C$1000))*1,[1]OUT_TransportEnergyCons!G$3:G$1000)</f>
        <v>0.62008023662895295</v>
      </c>
      <c r="J1576" s="1" cm="1">
        <f t="array" ref="J1576">SUMPRODUCT(("TFLGV-ICEGSL"=[1]OUT_TransportEnergyCons!$A$3:$A$1000)*1,("var_fout"=[1]OUT_TransportEnergyCons!$B$3:$B$1000)*1,ISNUMBER(SEARCH("TFLGV",[1]OUT_TransportEnergyCons!$C$3:$C$1000))*1,[1]OUT_TransportEnergyCons!H$3:H$1000)</f>
        <v>0.47922049789323767</v>
      </c>
      <c r="K1576" s="1" cm="1">
        <f t="array" ref="K1576">SUMPRODUCT(("TFLGV-ICEGSL"=[1]OUT_TransportEnergyCons!$A$3:$A$1000)*1,("var_fout"=[1]OUT_TransportEnergyCons!$B$3:$B$1000)*1,ISNUMBER(SEARCH("TFLGV",[1]OUT_TransportEnergyCons!$C$3:$C$1000))*1,[1]OUT_TransportEnergyCons!I$3:I$1000)</f>
        <v>0.58014087637804557</v>
      </c>
    </row>
    <row r="1577" spans="2:11" x14ac:dyDescent="0.35">
      <c r="B1577" t="str">
        <f t="shared" si="948"/>
        <v>SPS4</v>
      </c>
      <c r="C1577" t="str">
        <f t="shared" si="953"/>
        <v>CH</v>
      </c>
      <c r="D1577" t="s">
        <v>1565</v>
      </c>
      <c r="E1577" t="s">
        <v>1518</v>
      </c>
      <c r="F1577" s="1" cm="1">
        <f t="array" ref="F1577">SUMPRODUCT(("TFLGV-ICEdslExt"=[1]OUT_TransportEnergyCons!$A$3:$A$1000)*1,("var_fout"=[1]OUT_TransportEnergyCons!$B$3:$B$1000)*1,ISNUMBER(SEARCH("TFLGV",[1]OUT_TransportEnergyCons!$C$3:$C$1000))*1,[1]OUT_TransportEnergyCons!D$3:D$1000)</f>
        <v>2.8387656207897178</v>
      </c>
      <c r="G1577" s="1" cm="1">
        <f t="array" ref="G1577">SUMPRODUCT(("TFLGV-ICEdslExt"=[1]OUT_TransportEnergyCons!$A$3:$A$1000)*1,("var_fout"=[1]OUT_TransportEnergyCons!$B$3:$B$1000)*1,ISNUMBER(SEARCH("TFLGV",[1]OUT_TransportEnergyCons!$C$3:$C$1000))*1,[1]OUT_TransportEnergyCons!E$3:E$1000)</f>
        <v>1.9932620578088833</v>
      </c>
      <c r="H1577" s="1" cm="1">
        <f t="array" ref="H1577">SUMPRODUCT(("TFLGV-ICEdslExt"=[1]OUT_TransportEnergyCons!$A$3:$A$1000)*1,("var_fout"=[1]OUT_TransportEnergyCons!$B$3:$B$1000)*1,ISNUMBER(SEARCH("TFLGV",[1]OUT_TransportEnergyCons!$C$3:$C$1000))*1,[1]OUT_TransportEnergyCons!F$3:F$1000)</f>
        <v>1.5949156292747133</v>
      </c>
      <c r="I1577" s="1" cm="1">
        <f t="array" ref="I1577">SUMPRODUCT(("TFLGV-ICEdslExt"=[1]OUT_TransportEnergyCons!$A$3:$A$1000)*1,("var_fout"=[1]OUT_TransportEnergyCons!$B$3:$B$1000)*1,ISNUMBER(SEARCH("TFLGV",[1]OUT_TransportEnergyCons!$C$3:$C$1000))*1,[1]OUT_TransportEnergyCons!G$3:G$1000)</f>
        <v>0.76667878180912696</v>
      </c>
      <c r="J1577" s="1" cm="1">
        <f t="array" ref="J1577">SUMPRODUCT(("TFLGV-ICEdslExt"=[1]OUT_TransportEnergyCons!$A$3:$A$1000)*1,("var_fout"=[1]OUT_TransportEnergyCons!$B$3:$B$1000)*1,ISNUMBER(SEARCH("TFLGV",[1]OUT_TransportEnergyCons!$C$3:$C$1000))*1,[1]OUT_TransportEnergyCons!H$3:H$1000)</f>
        <v>0</v>
      </c>
      <c r="K1577" s="1" cm="1">
        <f t="array" ref="K1577">SUMPRODUCT(("TFLGV-ICEdslExt"=[1]OUT_TransportEnergyCons!$A$3:$A$1000)*1,("var_fout"=[1]OUT_TransportEnergyCons!$B$3:$B$1000)*1,ISNUMBER(SEARCH("TFLGV",[1]OUT_TransportEnergyCons!$C$3:$C$1000))*1,[1]OUT_TransportEnergyCons!I$3:I$1000)</f>
        <v>0</v>
      </c>
    </row>
    <row r="1578" spans="2:11" x14ac:dyDescent="0.35">
      <c r="B1578" t="str">
        <f t="shared" si="948"/>
        <v>SPS4</v>
      </c>
      <c r="C1578" t="str">
        <f t="shared" si="953"/>
        <v>CH</v>
      </c>
      <c r="D1578" t="s">
        <v>1566</v>
      </c>
      <c r="E1578" t="s">
        <v>1518</v>
      </c>
      <c r="F1578" s="1" cm="1">
        <f t="array" ref="F1578">SUMPRODUCT(("TFLGV-ICEdsl"=[1]OUT_TransportEnergyCons!$A$3:$A$1000)*1,("var_fout"=[1]OUT_TransportEnergyCons!$B$3:$B$1000)*1,ISNUMBER(SEARCH("TFLGV",[1]OUT_TransportEnergyCons!$C$3:$C$1000))*1,[1]OUT_TransportEnergyCons!D$3:D$1000)</f>
        <v>1.5210071902354436</v>
      </c>
      <c r="G1578" s="1" cm="1">
        <f t="array" ref="G1578">SUMPRODUCT(("TFLGV-ICEdsl"=[1]OUT_TransportEnergyCons!$A$3:$A$1000)*1,("var_fout"=[1]OUT_TransportEnergyCons!$B$3:$B$1000)*1,ISNUMBER(SEARCH("TFLGV",[1]OUT_TransportEnergyCons!$C$3:$C$1000))*1,[1]OUT_TransportEnergyCons!E$3:E$1000)</f>
        <v>1.7955159335620343</v>
      </c>
      <c r="H1578" s="1" cm="1">
        <f t="array" ref="H1578">SUMPRODUCT(("TFLGV-ICEdsl"=[1]OUT_TransportEnergyCons!$A$3:$A$1000)*1,("var_fout"=[1]OUT_TransportEnergyCons!$B$3:$B$1000)*1,ISNUMBER(SEARCH("TFLGV",[1]OUT_TransportEnergyCons!$C$3:$C$1000))*1,[1]OUT_TransportEnergyCons!F$3:F$1000)</f>
        <v>1.7957089125399188</v>
      </c>
      <c r="I1578" s="1" cm="1">
        <f t="array" ref="I1578">SUMPRODUCT(("TFLGV-ICEdsl"=[1]OUT_TransportEnergyCons!$A$3:$A$1000)*1,("var_fout"=[1]OUT_TransportEnergyCons!$B$3:$B$1000)*1,ISNUMBER(SEARCH("TFLGV",[1]OUT_TransportEnergyCons!$C$3:$C$1000))*1,[1]OUT_TransportEnergyCons!G$3:G$1000)</f>
        <v>0.71754351847385944</v>
      </c>
      <c r="J1578" s="1" cm="1">
        <f t="array" ref="J1578">SUMPRODUCT(("TFLGV-ICEdsl"=[1]OUT_TransportEnergyCons!$A$3:$A$1000)*1,("var_fout"=[1]OUT_TransportEnergyCons!$B$3:$B$1000)*1,ISNUMBER(SEARCH("TFLGV",[1]OUT_TransportEnergyCons!$C$3:$C$1000))*1,[1]OUT_TransportEnergyCons!H$3:H$1000)</f>
        <v>0.12323811781919058</v>
      </c>
      <c r="K1578" s="1" cm="1">
        <f t="array" ref="K1578">SUMPRODUCT(("TFLGV-ICEdsl"=[1]OUT_TransportEnergyCons!$A$3:$A$1000)*1,("var_fout"=[1]OUT_TransportEnergyCons!$B$3:$B$1000)*1,ISNUMBER(SEARCH("TFLGV",[1]OUT_TransportEnergyCons!$C$3:$C$1000))*1,[1]OUT_TransportEnergyCons!I$3:I$1000)</f>
        <v>2.2148601655958809E-2</v>
      </c>
    </row>
    <row r="1579" spans="2:11" x14ac:dyDescent="0.35">
      <c r="B1579" t="str">
        <f t="shared" si="948"/>
        <v>SPS4</v>
      </c>
      <c r="C1579" t="str">
        <f t="shared" si="953"/>
        <v>CH</v>
      </c>
      <c r="D1579" t="s">
        <v>1567</v>
      </c>
      <c r="E1579" t="s">
        <v>1518</v>
      </c>
      <c r="F1579" s="1" cm="1">
        <f t="array" ref="F1579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79" s="1" cm="1">
        <f t="array" ref="G1579">SUMPRODUCT(("TFLGV-HYBDSL"=[1]OUT_TransportEnergyCons!$A$3:$A$1000)*1,("var_fout"=[1]OUT_TransportEnergyCons!$B$3:$B$1000)*1,ISNUMBER(SEARCH("TFLGV",[1]OUT_TransportEnergyCons!$C$3:$C$1000))*1,[1]OUT_TransportEnergyCons!E$3:E$1000)</f>
        <v>8.3289689229668354E-2</v>
      </c>
      <c r="H1579" s="1" cm="1">
        <f t="array" ref="H1579">SUMPRODUCT(("TFLGV-HYBDSL"=[1]OUT_TransportEnergyCons!$A$3:$A$1000)*1,("var_fout"=[1]OUT_TransportEnergyCons!$B$3:$B$1000)*1,ISNUMBER(SEARCH("TFLGV",[1]OUT_TransportEnergyCons!$C$3:$C$1000))*1,[1]OUT_TransportEnergyCons!F$3:F$1000)</f>
        <v>0.48487415664944861</v>
      </c>
      <c r="I1579" s="1" cm="1">
        <f t="array" ref="I1579">SUMPRODUCT(("TFLGV-HYBDSL"=[1]OUT_TransportEnergyCons!$A$3:$A$1000)*1,("var_fout"=[1]OUT_TransportEnergyCons!$B$3:$B$1000)*1,ISNUMBER(SEARCH("TFLGV",[1]OUT_TransportEnergyCons!$C$3:$C$1000))*1,[1]OUT_TransportEnergyCons!G$3:G$1000)</f>
        <v>1.5972039856492801</v>
      </c>
      <c r="J1579" s="1" cm="1">
        <f t="array" ref="J1579">SUMPRODUCT(("TFLGV-HYBDSL"=[1]OUT_TransportEnergyCons!$A$3:$A$1000)*1,("var_fout"=[1]OUT_TransportEnergyCons!$B$3:$B$1000)*1,ISNUMBER(SEARCH("TFLGV",[1]OUT_TransportEnergyCons!$C$3:$C$1000))*1,[1]OUT_TransportEnergyCons!H$3:H$1000)</f>
        <v>1.116231585237679</v>
      </c>
      <c r="K1579" s="1" cm="1">
        <f t="array" ref="K1579">SUMPRODUCT(("TFLGV-HYBDSL"=[1]OUT_TransportEnergyCons!$A$3:$A$1000)*1,("var_fout"=[1]OUT_TransportEnergyCons!$B$3:$B$1000)*1,ISNUMBER(SEARCH("TFLGV",[1]OUT_TransportEnergyCons!$C$3:$C$1000))*1,[1]OUT_TransportEnergyCons!I$3:I$1000)</f>
        <v>1.2984441288404904</v>
      </c>
    </row>
    <row r="1580" spans="2:11" x14ac:dyDescent="0.35">
      <c r="B1580" t="str">
        <f t="shared" si="948"/>
        <v>SPS4</v>
      </c>
      <c r="C1580" t="str">
        <f t="shared" si="953"/>
        <v>CH</v>
      </c>
      <c r="D1580" t="s">
        <v>1568</v>
      </c>
      <c r="E1580" t="s">
        <v>1518</v>
      </c>
      <c r="F1580" s="1" cm="1">
        <f t="array" ref="F1580">SUMPRODUCT(("TFLGV-ICENGA"=[1]OUT_TransportEnergyCons!$A$3:$A$1000)*1,("var_fout"=[1]OUT_TransportEnergyCons!$B$3:$B$1000)*1,ISNUMBER(SEARCH("TFLGV",[1]OUT_TransportEnergyCons!$C$3:$C$1000))*1,[1]OUT_TransportEnergyCons!D$3:D$1000)</f>
        <v>8.1263161427261744E-3</v>
      </c>
      <c r="G1580" s="1" cm="1">
        <f t="array" ref="G1580">SUMPRODUCT(("TFLGV-ICENGA"=[1]OUT_TransportEnergyCons!$A$3:$A$1000)*1,("var_fout"=[1]OUT_TransportEnergyCons!$B$3:$B$1000)*1,ISNUMBER(SEARCH("TFLGV",[1]OUT_TransportEnergyCons!$C$3:$C$1000))*1,[1]OUT_TransportEnergyCons!E$3:E$1000)</f>
        <v>7.1802476512262932E-3</v>
      </c>
      <c r="H1580" s="1" cm="1">
        <f t="array" ref="H1580">SUMPRODUCT(("TFLGV-ICENGA"=[1]OUT_TransportEnergyCons!$A$3:$A$1000)*1,("var_fout"=[1]OUT_TransportEnergyCons!$B$3:$B$1000)*1,ISNUMBER(SEARCH("TFLGV",[1]OUT_TransportEnergyCons!$C$3:$C$1000))*1,[1]OUT_TransportEnergyCons!F$3:F$1000)</f>
        <v>1.0092979746832265E-2</v>
      </c>
      <c r="I1580" s="1" cm="1">
        <f t="array" ref="I1580">SUMPRODUCT(("TFLGV-ICENGA"=[1]OUT_TransportEnergyCons!$A$3:$A$1000)*1,("var_fout"=[1]OUT_TransportEnergyCons!$B$3:$B$1000)*1,ISNUMBER(SEARCH("TFLGV",[1]OUT_TransportEnergyCons!$C$3:$C$1000))*1,[1]OUT_TransportEnergyCons!G$3:G$1000)</f>
        <v>5.0656387868423913E-5</v>
      </c>
      <c r="J1580" s="1" cm="1">
        <f t="array" ref="J1580">SUMPRODUCT(("TFLGV-ICENGA"=[1]OUT_TransportEnergyCons!$A$3:$A$1000)*1,("var_fout"=[1]OUT_TransportEnergyCons!$B$3:$B$1000)*1,ISNUMBER(SEARCH("TFLGV",[1]OUT_TransportEnergyCons!$C$3:$C$1000))*1,[1]OUT_TransportEnergyCons!H$3:H$1000)</f>
        <v>5.1068339255751339E-5</v>
      </c>
      <c r="K1580" s="1" cm="1">
        <f t="array" ref="K1580">SUMPRODUCT(("TFLGV-ICENGA"=[1]OUT_TransportEnergyCons!$A$3:$A$1000)*1,("var_fout"=[1]OUT_TransportEnergyCons!$B$3:$B$1000)*1,ISNUMBER(SEARCH("TFLGV",[1]OUT_TransportEnergyCons!$C$3:$C$1000))*1,[1]OUT_TransportEnergyCons!I$3:I$1000)</f>
        <v>4.3643832431678928E-5</v>
      </c>
    </row>
    <row r="1581" spans="2:11" x14ac:dyDescent="0.35">
      <c r="B1581" s="2" t="str">
        <f t="shared" si="948"/>
        <v>SPS4</v>
      </c>
      <c r="C1581" s="2" t="str">
        <f t="shared" si="953"/>
        <v>CH</v>
      </c>
      <c r="D1581" s="2" t="s">
        <v>1569</v>
      </c>
      <c r="E1581" s="2" t="s">
        <v>1577</v>
      </c>
      <c r="F1581" s="24" t="s">
        <v>292</v>
      </c>
      <c r="G1581" s="24" t="s">
        <v>292</v>
      </c>
      <c r="H1581" s="24" t="s">
        <v>292</v>
      </c>
      <c r="I1581" s="24" t="s">
        <v>292</v>
      </c>
      <c r="J1581" s="24" t="s">
        <v>292</v>
      </c>
      <c r="K1581" s="24" t="s">
        <v>292</v>
      </c>
    </row>
    <row r="1582" spans="2:11" x14ac:dyDescent="0.35">
      <c r="B1582" t="str">
        <f t="shared" si="948"/>
        <v>SPS4</v>
      </c>
      <c r="C1582" t="str">
        <f t="shared" si="953"/>
        <v>CH</v>
      </c>
      <c r="D1582" t="s">
        <v>1570</v>
      </c>
      <c r="E1582" t="s">
        <v>1577</v>
      </c>
      <c r="F1582" s="1">
        <f>IFERROR(F1572/F1546,"-")</f>
        <v>0.68922285337539579</v>
      </c>
      <c r="G1582" s="1">
        <f t="shared" ref="G1582:K1582" si="967">IFERROR(G1572/G1546,"-")</f>
        <v>0.69564643130450554</v>
      </c>
      <c r="H1582" s="1">
        <f t="shared" si="967"/>
        <v>0.70528179819817027</v>
      </c>
      <c r="I1582" s="1">
        <f t="shared" si="967"/>
        <v>0.70528179819816994</v>
      </c>
      <c r="J1582" s="1" t="str">
        <f t="shared" si="967"/>
        <v>-</v>
      </c>
      <c r="K1582" s="1" t="str">
        <f t="shared" si="967"/>
        <v>-</v>
      </c>
    </row>
    <row r="1583" spans="2:11" x14ac:dyDescent="0.35">
      <c r="B1583" t="str">
        <f t="shared" si="948"/>
        <v>SPS4</v>
      </c>
      <c r="C1583" t="str">
        <f t="shared" si="953"/>
        <v>CH</v>
      </c>
      <c r="D1583" t="s">
        <v>1571</v>
      </c>
      <c r="E1583" t="s">
        <v>1577</v>
      </c>
      <c r="F1583" s="1">
        <f>IFERROR(F1573/F1547,"-")</f>
        <v>0.68135756995377195</v>
      </c>
      <c r="G1583" s="1">
        <f t="shared" ref="G1583:K1583" si="968">IFERROR(G1573/G1547,"-")</f>
        <v>0.68135756995377306</v>
      </c>
      <c r="H1583" s="1">
        <f t="shared" si="968"/>
        <v>0.68135756995377272</v>
      </c>
      <c r="I1583" s="1">
        <f t="shared" si="968"/>
        <v>0.68135756995377272</v>
      </c>
      <c r="J1583" s="1">
        <f t="shared" si="968"/>
        <v>0.68135756995377283</v>
      </c>
      <c r="K1583" s="1">
        <f t="shared" si="968"/>
        <v>0.68135756995377239</v>
      </c>
    </row>
    <row r="1584" spans="2:11" x14ac:dyDescent="0.35">
      <c r="B1584" t="str">
        <f t="shared" si="948"/>
        <v>SPS4</v>
      </c>
      <c r="C1584" t="str">
        <f t="shared" si="953"/>
        <v>CH</v>
      </c>
      <c r="D1584" t="s">
        <v>1572</v>
      </c>
      <c r="E1584" t="s">
        <v>1577</v>
      </c>
      <c r="F1584" s="1" t="str">
        <f>IFERROR(F1574/F1549,"-")</f>
        <v>-</v>
      </c>
      <c r="G1584" s="1">
        <f t="shared" ref="G1584:K1584" si="969">IFERROR(G1574/G1549,"-")</f>
        <v>0.46510343171505425</v>
      </c>
      <c r="H1584" s="1">
        <f t="shared" si="969"/>
        <v>0.47158136877341522</v>
      </c>
      <c r="I1584" s="1">
        <f t="shared" si="969"/>
        <v>0.49355233717292113</v>
      </c>
      <c r="J1584" s="1">
        <f t="shared" si="969"/>
        <v>0.56358927263143754</v>
      </c>
      <c r="K1584" s="1">
        <f t="shared" si="969"/>
        <v>0.59281996861162234</v>
      </c>
    </row>
    <row r="1585" spans="2:11" x14ac:dyDescent="0.35">
      <c r="B1585" t="str">
        <f t="shared" si="948"/>
        <v>SPS4</v>
      </c>
      <c r="C1585" t="str">
        <f t="shared" si="953"/>
        <v>CH</v>
      </c>
      <c r="D1585" t="s">
        <v>1592</v>
      </c>
      <c r="E1585" t="s">
        <v>1577</v>
      </c>
      <c r="F1585" s="1">
        <f>IFERROR(F1575/F1555,"-")</f>
        <v>0.2775832561368099</v>
      </c>
      <c r="G1585" s="1">
        <f t="shared" ref="G1585:K1585" si="970">IFERROR(G1575/G1555,"-")</f>
        <v>0.28017034051580086</v>
      </c>
      <c r="H1585" s="1">
        <f t="shared" si="970"/>
        <v>0.28405096708428684</v>
      </c>
      <c r="I1585" s="1">
        <f t="shared" si="970"/>
        <v>0.28405096708428701</v>
      </c>
      <c r="J1585" s="1" t="str">
        <f t="shared" si="970"/>
        <v>-</v>
      </c>
      <c r="K1585" s="1" t="str">
        <f t="shared" si="970"/>
        <v>-</v>
      </c>
    </row>
    <row r="1586" spans="2:11" x14ac:dyDescent="0.35">
      <c r="B1586" t="str">
        <f t="shared" si="948"/>
        <v>SPS4</v>
      </c>
      <c r="C1586" t="str">
        <f t="shared" si="953"/>
        <v>CH</v>
      </c>
      <c r="D1586" t="s">
        <v>1593</v>
      </c>
      <c r="E1586" t="s">
        <v>1577</v>
      </c>
      <c r="F1586" s="1">
        <f>IFERROR(F1576/F1556,"-")</f>
        <v>0.351229612156221</v>
      </c>
      <c r="G1586" s="1">
        <f t="shared" ref="G1586:K1586" si="971">IFERROR(G1576/G1556,"-")</f>
        <v>0.3512296121562215</v>
      </c>
      <c r="H1586" s="1">
        <f t="shared" si="971"/>
        <v>0.35122961215622062</v>
      </c>
      <c r="I1586" s="1">
        <f t="shared" si="971"/>
        <v>0.35122961215622117</v>
      </c>
      <c r="J1586" s="1">
        <f t="shared" si="971"/>
        <v>0.35122961215622106</v>
      </c>
      <c r="K1586" s="1">
        <f t="shared" si="971"/>
        <v>0.35122961215622128</v>
      </c>
    </row>
    <row r="1587" spans="2:11" x14ac:dyDescent="0.35">
      <c r="B1587" t="str">
        <f t="shared" si="948"/>
        <v>SPS4</v>
      </c>
      <c r="C1587" t="str">
        <f t="shared" si="953"/>
        <v>CH</v>
      </c>
      <c r="D1587" t="s">
        <v>1573</v>
      </c>
      <c r="E1587" t="s">
        <v>1577</v>
      </c>
      <c r="F1587" s="1">
        <f>IFERROR(F1577/F1562,"-")</f>
        <v>0.25903663625928686</v>
      </c>
      <c r="G1587" s="1">
        <f t="shared" ref="G1587:K1587" si="972">IFERROR(G1577/G1562,"-")</f>
        <v>0.26793746277611219</v>
      </c>
      <c r="H1587" s="1">
        <f t="shared" si="972"/>
        <v>0.28128870255135013</v>
      </c>
      <c r="I1587" s="1">
        <f t="shared" si="972"/>
        <v>0.28128870255135013</v>
      </c>
      <c r="J1587" s="1" t="str">
        <f t="shared" si="972"/>
        <v>-</v>
      </c>
      <c r="K1587" s="1" t="str">
        <f t="shared" si="972"/>
        <v>-</v>
      </c>
    </row>
    <row r="1588" spans="2:11" x14ac:dyDescent="0.35">
      <c r="B1588" t="str">
        <f t="shared" ref="B1588:B1651" si="973">B1587</f>
        <v>SPS4</v>
      </c>
      <c r="C1588" t="str">
        <f t="shared" si="953"/>
        <v>CH</v>
      </c>
      <c r="D1588" t="s">
        <v>1574</v>
      </c>
      <c r="E1588" t="s">
        <v>1577</v>
      </c>
      <c r="F1588" s="1">
        <f>IFERROR(F1578/F1563,"-")</f>
        <v>0.34211451343153204</v>
      </c>
      <c r="G1588" s="1">
        <f t="shared" ref="G1588:K1588" si="974">IFERROR(G1578/G1563,"-")</f>
        <v>0.34211451343153243</v>
      </c>
      <c r="H1588" s="1">
        <f t="shared" si="974"/>
        <v>0.34211451343153332</v>
      </c>
      <c r="I1588" s="1">
        <f t="shared" si="974"/>
        <v>0.34211451343153298</v>
      </c>
      <c r="J1588" s="1">
        <f t="shared" si="974"/>
        <v>0.34211451343153221</v>
      </c>
      <c r="K1588" s="1">
        <f t="shared" si="974"/>
        <v>0.34211451343153165</v>
      </c>
    </row>
    <row r="1589" spans="2:11" x14ac:dyDescent="0.35">
      <c r="B1589" t="str">
        <f t="shared" si="973"/>
        <v>SPS4</v>
      </c>
      <c r="C1589" t="str">
        <f t="shared" si="953"/>
        <v>CH</v>
      </c>
      <c r="D1589" t="s">
        <v>1575</v>
      </c>
      <c r="E1589" t="s">
        <v>1577</v>
      </c>
      <c r="F1589" s="1" t="str">
        <f>IFERROR(F1579/F1564,"-")</f>
        <v>-</v>
      </c>
      <c r="G1589" s="1">
        <f t="shared" ref="G1589:K1589" si="975">IFERROR(G1579/G1564,"-")</f>
        <v>0.46076759264650802</v>
      </c>
      <c r="H1589" s="1">
        <f t="shared" si="975"/>
        <v>0.4607675926465078</v>
      </c>
      <c r="I1589" s="1">
        <f t="shared" si="975"/>
        <v>0.46076759264650796</v>
      </c>
      <c r="J1589" s="1">
        <f t="shared" si="975"/>
        <v>0.46076759264650763</v>
      </c>
      <c r="K1589" s="1">
        <f t="shared" si="975"/>
        <v>0.46076759264650807</v>
      </c>
    </row>
    <row r="1590" spans="2:11" x14ac:dyDescent="0.35">
      <c r="B1590" t="str">
        <f t="shared" si="973"/>
        <v>SPS4</v>
      </c>
      <c r="C1590" t="str">
        <f t="shared" si="953"/>
        <v>CH</v>
      </c>
      <c r="D1590" t="s">
        <v>1576</v>
      </c>
      <c r="E1590" t="s">
        <v>1577</v>
      </c>
      <c r="F1590" s="1">
        <f>IFERROR(F1580/F1570,"-")</f>
        <v>0.32057692743518046</v>
      </c>
      <c r="G1590" s="1">
        <f t="shared" ref="G1590:K1590" si="976">IFERROR(G1580/G1570,"-")</f>
        <v>0.32057692743517985</v>
      </c>
      <c r="H1590" s="1">
        <f t="shared" si="976"/>
        <v>0.3205769274351809</v>
      </c>
      <c r="I1590" s="1">
        <f t="shared" si="976"/>
        <v>0.32057692743517996</v>
      </c>
      <c r="J1590" s="1">
        <f t="shared" si="976"/>
        <v>0.32057692743517996</v>
      </c>
      <c r="K1590" s="1">
        <f t="shared" si="976"/>
        <v>0.32057692743518024</v>
      </c>
    </row>
    <row r="1591" spans="2:11" x14ac:dyDescent="0.35">
      <c r="B1591" s="2" t="str">
        <f t="shared" si="973"/>
        <v>SPS4</v>
      </c>
      <c r="C1591" s="2" t="str">
        <f>C1590</f>
        <v>CH</v>
      </c>
      <c r="D1591" s="2" t="s">
        <v>1597</v>
      </c>
      <c r="E1591" s="2" t="s">
        <v>8</v>
      </c>
      <c r="F1591" s="3">
        <f>F1592+F1595+F1597+F1604+F1612</f>
        <v>24.51673867265291</v>
      </c>
      <c r="G1591" s="3">
        <f t="shared" ref="G1591" si="977">G1592+G1595+G1597+G1604+G1612</f>
        <v>22.844223304725343</v>
      </c>
      <c r="H1591" s="3">
        <f t="shared" ref="H1591" si="978">H1592+H1595+H1597+H1604+H1612</f>
        <v>20.470937460487384</v>
      </c>
      <c r="I1591" s="3">
        <f t="shared" ref="I1591" si="979">I1592+I1595+I1597+I1604+I1612</f>
        <v>16.565538179487998</v>
      </c>
      <c r="J1591" s="3">
        <f t="shared" ref="J1591" si="980">J1592+J1595+J1597+J1604+J1612</f>
        <v>15.366130678459895</v>
      </c>
      <c r="K1591" s="3">
        <f t="shared" ref="K1591" si="981">K1592+K1595+K1597+K1604+K1612</f>
        <v>16.612429044849822</v>
      </c>
    </row>
    <row r="1592" spans="2:11" x14ac:dyDescent="0.35">
      <c r="B1592" t="str">
        <f t="shared" si="973"/>
        <v>SPS4</v>
      </c>
      <c r="C1592" t="str">
        <f t="shared" ref="C1592:C1637" si="982">C1591</f>
        <v>CH</v>
      </c>
      <c r="D1592" t="s">
        <v>1598</v>
      </c>
      <c r="E1592" t="str">
        <f>E1591</f>
        <v>PJ/yr.</v>
      </c>
      <c r="F1592" s="1">
        <f>SUM(F1593:F1594)</f>
        <v>6.8803365196820889E-3</v>
      </c>
      <c r="G1592" s="1">
        <f t="shared" ref="G1592" si="983">SUM(G1593:G1594)</f>
        <v>1.8478561419113231E-2</v>
      </c>
      <c r="H1592" s="1">
        <f t="shared" ref="H1592" si="984">SUM(H1593:H1594)</f>
        <v>1.9057511187598294E-2</v>
      </c>
      <c r="I1592" s="1">
        <f t="shared" ref="I1592" si="985">SUM(I1593:I1594)</f>
        <v>5.8917141083970085E-3</v>
      </c>
      <c r="J1592" s="1">
        <f t="shared" ref="J1592" si="986">SUM(J1593:J1594)</f>
        <v>1.0763338598764128E-3</v>
      </c>
      <c r="K1592" s="1">
        <f t="shared" ref="K1592" si="987">SUM(K1593:K1594)</f>
        <v>4.3313466449187217E-4</v>
      </c>
    </row>
    <row r="1593" spans="2:11" x14ac:dyDescent="0.35">
      <c r="B1593" t="str">
        <f t="shared" si="973"/>
        <v>SPS4</v>
      </c>
      <c r="C1593" t="str">
        <f t="shared" si="982"/>
        <v>CH</v>
      </c>
      <c r="D1593" t="s">
        <v>1599</v>
      </c>
      <c r="E1593" t="str">
        <f t="shared" ref="E1593:E1617" si="988">E1592</f>
        <v>PJ/yr.</v>
      </c>
      <c r="F1593" s="1" cm="1">
        <f t="array" ref="F1593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3" s="1" cm="1">
        <f t="array" ref="G1593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3" s="1" cm="1">
        <f t="array" ref="H1593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3" s="1" cm="1">
        <f t="array" ref="I1593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3" s="1" cm="1">
        <f t="array" ref="J1593">SUMPRODUCT(("TFHGV-BeVELCExt"=[1]OUT_TransportEnergyCons!$A$3:$A$1000)*1,("Var_Fin"=[1]OUT_TransportEnergyCons!$B$3:$B$1000)*1,ISNUMBER(SEARCH("ELC",[1]OUT_TransportEnergyCons!$C$3:$C$1000))*1,[1]OUT_TransportEnergyCons!H$3:H$1000)</f>
        <v>0</v>
      </c>
      <c r="K1593" s="1" cm="1">
        <f t="array" ref="K1593">SUMPRODUCT(("TFHGV-BeVELCExt"=[1]OUT_TransportEnergyCons!$A$3:$A$1000)*1,("Var_Fin"=[1]OUT_TransportEnergyCons!$B$3:$B$1000)*1,ISNUMBER(SEARCH("ELC",[1]OUT_TransportEnergyCons!$C$3:$C$1000))*1,[1]OUT_TransportEnergyCons!I$3:I$1000)</f>
        <v>0</v>
      </c>
    </row>
    <row r="1594" spans="2:11" x14ac:dyDescent="0.35">
      <c r="B1594" t="str">
        <f t="shared" si="973"/>
        <v>SPS4</v>
      </c>
      <c r="C1594" t="str">
        <f t="shared" si="982"/>
        <v>CH</v>
      </c>
      <c r="D1594" t="s">
        <v>1600</v>
      </c>
      <c r="E1594" t="str">
        <f t="shared" si="988"/>
        <v>PJ/yr.</v>
      </c>
      <c r="F1594" s="1" cm="1">
        <f t="array" ref="F1594">SUMPRODUCT(("TFHGV-BEVELC"=[1]OUT_TransportEnergyCons!$A$3:$A$1000)*1,("Var_Fin"=[1]OUT_TransportEnergyCons!$B$3:$B$1000)*1,ISNUMBER(SEARCH("ELC",[1]OUT_TransportEnergyCons!$C$3:$C$1000))*1,[1]OUT_TransportEnergyCons!D$3:D$1000)</f>
        <v>6.8803365196820889E-3</v>
      </c>
      <c r="G1594" s="1" cm="1">
        <f t="array" ref="G1594">SUMPRODUCT(("TFHGV-BEVELC"=[1]OUT_TransportEnergyCons!$A$3:$A$1000)*1,("Var_Fin"=[1]OUT_TransportEnergyCons!$B$3:$B$1000)*1,ISNUMBER(SEARCH("ELC",[1]OUT_TransportEnergyCons!$C$3:$C$1000))*1,[1]OUT_TransportEnergyCons!E$3:E$1000)</f>
        <v>1.8478561419113231E-2</v>
      </c>
      <c r="H1594" s="1" cm="1">
        <f t="array" ref="H1594">SUMPRODUCT(("TFHGV-BEVELC"=[1]OUT_TransportEnergyCons!$A$3:$A$1000)*1,("Var_Fin"=[1]OUT_TransportEnergyCons!$B$3:$B$1000)*1,ISNUMBER(SEARCH("ELC",[1]OUT_TransportEnergyCons!$C$3:$C$1000))*1,[1]OUT_TransportEnergyCons!F$3:F$1000)</f>
        <v>1.9057511187598294E-2</v>
      </c>
      <c r="I1594" s="1" cm="1">
        <f t="array" ref="I1594">SUMPRODUCT(("TFHGV-BEVELC"=[1]OUT_TransportEnergyCons!$A$3:$A$1000)*1,("Var_Fin"=[1]OUT_TransportEnergyCons!$B$3:$B$1000)*1,ISNUMBER(SEARCH("ELC",[1]OUT_TransportEnergyCons!$C$3:$C$1000))*1,[1]OUT_TransportEnergyCons!G$3:G$1000)</f>
        <v>5.8917141083970085E-3</v>
      </c>
      <c r="J1594" s="1" cm="1">
        <f t="array" ref="J1594">SUMPRODUCT(("TFHGV-BEVELC"=[1]OUT_TransportEnergyCons!$A$3:$A$1000)*1,("Var_Fin"=[1]OUT_TransportEnergyCons!$B$3:$B$1000)*1,ISNUMBER(SEARCH("ELC",[1]OUT_TransportEnergyCons!$C$3:$C$1000))*1,[1]OUT_TransportEnergyCons!H$3:H$1000)</f>
        <v>1.0763338598764128E-3</v>
      </c>
      <c r="K1594" s="1" cm="1">
        <f t="array" ref="K1594">SUMPRODUCT(("TFHGV-BEVELC"=[1]OUT_TransportEnergyCons!$A$3:$A$1000)*1,("Var_Fin"=[1]OUT_TransportEnergyCons!$B$3:$B$1000)*1,ISNUMBER(SEARCH("ELC",[1]OUT_TransportEnergyCons!$C$3:$C$1000))*1,[1]OUT_TransportEnergyCons!I$3:I$1000)</f>
        <v>4.3313466449187217E-4</v>
      </c>
    </row>
    <row r="1595" spans="2:11" x14ac:dyDescent="0.35">
      <c r="B1595" t="str">
        <f t="shared" si="973"/>
        <v>SPS4</v>
      </c>
      <c r="C1595" t="str">
        <f t="shared" si="982"/>
        <v>CH</v>
      </c>
      <c r="D1595" t="s">
        <v>1601</v>
      </c>
      <c r="E1595" t="str">
        <f t="shared" si="988"/>
        <v>PJ/yr.</v>
      </c>
      <c r="F1595" s="1">
        <f>F1596</f>
        <v>2.53795929938707E-3</v>
      </c>
      <c r="G1595" s="1">
        <f t="shared" ref="G1595" si="989">G1596</f>
        <v>1.0809070041784242E-3</v>
      </c>
      <c r="H1595" s="1">
        <f t="shared" ref="H1595" si="990">H1596</f>
        <v>1.0835985724915558E-3</v>
      </c>
      <c r="I1595" s="1">
        <f t="shared" ref="I1595" si="991">I1596</f>
        <v>2.2411064451731009E-4</v>
      </c>
      <c r="J1595" s="1">
        <f t="shared" ref="J1595" si="992">J1596</f>
        <v>1.8729626859366084E-4</v>
      </c>
      <c r="K1595" s="1">
        <f t="shared" ref="K1595" si="993">K1596</f>
        <v>1.5700703573469189E-4</v>
      </c>
    </row>
    <row r="1596" spans="2:11" x14ac:dyDescent="0.35">
      <c r="B1596" t="str">
        <f t="shared" si="973"/>
        <v>SPS4</v>
      </c>
      <c r="C1596" t="str">
        <f t="shared" si="982"/>
        <v>CH</v>
      </c>
      <c r="D1596" t="s">
        <v>1602</v>
      </c>
      <c r="E1596" t="str">
        <f t="shared" si="988"/>
        <v>PJ/yr.</v>
      </c>
      <c r="F1596" s="1" cm="1">
        <f t="array" ref="F1596">SUMPRODUCT(("TFHGV-FCLH2O"=[1]OUT_TransportEnergyCons!$A$3:$A$1000)*1,("Var_Fin"=[1]OUT_TransportEnergyCons!$B$3:$B$1000)*1,ISNUMBER(SEARCH("h2",[1]OUT_TransportEnergyCons!$C$3:$C$1000))*1,[1]OUT_TransportEnergyCons!D$3:D$1000)</f>
        <v>2.53795929938707E-3</v>
      </c>
      <c r="G1596" s="1" cm="1">
        <f t="array" ref="G1596">SUMPRODUCT(("TFHGV-FCLH2O"=[1]OUT_TransportEnergyCons!$A$3:$A$1000)*1,("Var_Fin"=[1]OUT_TransportEnergyCons!$B$3:$B$1000)*1,ISNUMBER(SEARCH("h2",[1]OUT_TransportEnergyCons!$C$3:$C$1000))*1,[1]OUT_TransportEnergyCons!E$3:E$1000)</f>
        <v>1.0809070041784242E-3</v>
      </c>
      <c r="H1596" s="1" cm="1">
        <f t="array" ref="H1596">SUMPRODUCT(("TFHGV-FCLH2O"=[1]OUT_TransportEnergyCons!$A$3:$A$1000)*1,("Var_Fin"=[1]OUT_TransportEnergyCons!$B$3:$B$1000)*1,ISNUMBER(SEARCH("h2",[1]OUT_TransportEnergyCons!$C$3:$C$1000))*1,[1]OUT_TransportEnergyCons!F$3:F$1000)</f>
        <v>1.0835985724915558E-3</v>
      </c>
      <c r="I1596" s="1" cm="1">
        <f t="array" ref="I1596">SUMPRODUCT(("TFHGV-FCLH2O"=[1]OUT_TransportEnergyCons!$A$3:$A$1000)*1,("Var_Fin"=[1]OUT_TransportEnergyCons!$B$3:$B$1000)*1,ISNUMBER(SEARCH("h2",[1]OUT_TransportEnergyCons!$C$3:$C$1000))*1,[1]OUT_TransportEnergyCons!G$3:G$1000)</f>
        <v>2.2411064451731009E-4</v>
      </c>
      <c r="J1596" s="1" cm="1">
        <f t="array" ref="J1596">SUMPRODUCT(("TFHGV-FCLH2O"=[1]OUT_TransportEnergyCons!$A$3:$A$1000)*1,("Var_Fin"=[1]OUT_TransportEnergyCons!$B$3:$B$1000)*1,ISNUMBER(SEARCH("h2",[1]OUT_TransportEnergyCons!$C$3:$C$1000))*1,[1]OUT_TransportEnergyCons!H$3:H$1000)</f>
        <v>1.8729626859366084E-4</v>
      </c>
      <c r="K1596" s="1" cm="1">
        <f t="array" ref="K1596">SUMPRODUCT(("TFHGV-FCLH2O"=[1]OUT_TransportEnergyCons!$A$3:$A$1000)*1,("Var_Fin"=[1]OUT_TransportEnergyCons!$B$3:$B$1000)*1,ISNUMBER(SEARCH("h2",[1]OUT_TransportEnergyCons!$C$3:$C$1000))*1,[1]OUT_TransportEnergyCons!I$3:I$1000)</f>
        <v>1.5700703573469189E-4</v>
      </c>
    </row>
    <row r="1597" spans="2:11" x14ac:dyDescent="0.35">
      <c r="B1597" t="str">
        <f t="shared" si="973"/>
        <v>SPS4</v>
      </c>
      <c r="C1597" t="str">
        <f t="shared" si="982"/>
        <v>CH</v>
      </c>
      <c r="D1597" t="s">
        <v>1603</v>
      </c>
      <c r="E1597" t="str">
        <f t="shared" si="988"/>
        <v>PJ/yr.</v>
      </c>
      <c r="F1597" s="1">
        <f>SUM(F1602:F1603)</f>
        <v>0</v>
      </c>
      <c r="G1597" s="1">
        <f t="shared" ref="G1597:K1597" si="994">SUM(G1602:G1603)</f>
        <v>0</v>
      </c>
      <c r="H1597" s="1">
        <f t="shared" si="994"/>
        <v>0</v>
      </c>
      <c r="I1597" s="1">
        <f t="shared" si="994"/>
        <v>0</v>
      </c>
      <c r="J1597" s="1">
        <f t="shared" si="994"/>
        <v>0</v>
      </c>
      <c r="K1597" s="1">
        <f t="shared" si="994"/>
        <v>0</v>
      </c>
    </row>
    <row r="1598" spans="2:11" x14ac:dyDescent="0.35">
      <c r="B1598" t="str">
        <f t="shared" si="973"/>
        <v>SPS4</v>
      </c>
      <c r="C1598" t="str">
        <f t="shared" si="982"/>
        <v>CH</v>
      </c>
      <c r="D1598" t="s">
        <v>1604</v>
      </c>
      <c r="E1598" t="str">
        <f t="shared" si="988"/>
        <v>PJ/yr.</v>
      </c>
      <c r="F1598" s="1">
        <f>F1597-F1599</f>
        <v>0</v>
      </c>
      <c r="G1598" s="1">
        <f t="shared" ref="G1598:K1598" si="995">G1597-G1599</f>
        <v>0</v>
      </c>
      <c r="H1598" s="1">
        <f t="shared" si="995"/>
        <v>0</v>
      </c>
      <c r="I1598" s="1">
        <f t="shared" si="995"/>
        <v>0</v>
      </c>
      <c r="J1598" s="1">
        <f t="shared" si="995"/>
        <v>0</v>
      </c>
      <c r="K1598" s="1">
        <f t="shared" si="995"/>
        <v>0</v>
      </c>
    </row>
    <row r="1599" spans="2:11" x14ac:dyDescent="0.35">
      <c r="B1599" t="str">
        <f t="shared" si="973"/>
        <v>SPS4</v>
      </c>
      <c r="C1599" t="str">
        <f t="shared" si="982"/>
        <v>CH</v>
      </c>
      <c r="D1599" t="s">
        <v>1605</v>
      </c>
      <c r="E1599" t="str">
        <f t="shared" si="988"/>
        <v>PJ/yr.</v>
      </c>
      <c r="F1599" s="1">
        <f>SUM(F1600:F1601)</f>
        <v>0</v>
      </c>
      <c r="G1599" s="1">
        <f t="shared" ref="G1599:K1599" si="996">SUM(G1600:G1601)</f>
        <v>0</v>
      </c>
      <c r="H1599" s="1">
        <f t="shared" si="996"/>
        <v>0</v>
      </c>
      <c r="I1599" s="1">
        <f t="shared" si="996"/>
        <v>0</v>
      </c>
      <c r="J1599" s="1">
        <f t="shared" si="996"/>
        <v>0</v>
      </c>
      <c r="K1599" s="1">
        <f t="shared" si="996"/>
        <v>0</v>
      </c>
    </row>
    <row r="1600" spans="2:11" x14ac:dyDescent="0.35">
      <c r="B1600" t="str">
        <f t="shared" si="973"/>
        <v>SPS4</v>
      </c>
      <c r="C1600" t="str">
        <f t="shared" si="982"/>
        <v>CH</v>
      </c>
      <c r="D1600" t="s">
        <v>1606</v>
      </c>
      <c r="E1600" t="str">
        <f t="shared" si="988"/>
        <v>PJ/yr.</v>
      </c>
      <c r="F1600" s="1">
        <f>[1]Transport!B$25/SUM([1]Transport!B$21,[1]Transport!B$25)*F1597*(F$34+F$598)/(F$34+F$598+F$37)</f>
        <v>0</v>
      </c>
      <c r="G1600" s="1">
        <f>[1]Transport!C$25/SUM([1]Transport!C$21,[1]Transport!C$25)*G1597*(G$34+G$598)/(G$34+G$598+G$37)</f>
        <v>0</v>
      </c>
      <c r="H1600" s="1">
        <f>[1]Transport!D$25/SUM([1]Transport!D$21,[1]Transport!D$25)*H1597*(H$34+H$598)/(H$34+H$598+H$37)</f>
        <v>0</v>
      </c>
      <c r="I1600" s="1">
        <f>[1]Transport!E$25/SUM([1]Transport!E$21,[1]Transport!E$25)*I1597*(I$34+I$598)/(I$34+I$598+I$37)</f>
        <v>0</v>
      </c>
      <c r="J1600" s="1">
        <f>[1]Transport!F$25/SUM([1]Transport!F$21,[1]Transport!F$25)*J1597*(J$34+J$598)/(J$34+J$598+J$37)</f>
        <v>0</v>
      </c>
      <c r="K1600" s="1">
        <f>[1]Transport!G$25/SUM([1]Transport!G$21,[1]Transport!G$25)*K1597*(K$34+K$598)/(K$34+K$598+K$37)</f>
        <v>0</v>
      </c>
    </row>
    <row r="1601" spans="2:11" x14ac:dyDescent="0.35">
      <c r="B1601" t="str">
        <f t="shared" si="973"/>
        <v>SPS4</v>
      </c>
      <c r="C1601" t="str">
        <f t="shared" si="982"/>
        <v>CH</v>
      </c>
      <c r="D1601" t="s">
        <v>1607</v>
      </c>
      <c r="E1601" t="str">
        <f t="shared" si="988"/>
        <v>PJ/yr.</v>
      </c>
      <c r="F1601" s="1">
        <f>(F$37+F$717)/([1]Transport!B$21+[1]Transport!B$25)*F1597</f>
        <v>0</v>
      </c>
      <c r="G1601" s="1">
        <f>(G$37+G$717)/([1]Transport!C$21+[1]Transport!C$25)*G1597</f>
        <v>0</v>
      </c>
      <c r="H1601" s="1">
        <f>(H$37+H$717)/([1]Transport!D$21+[1]Transport!D$25)*H1597</f>
        <v>0</v>
      </c>
      <c r="I1601" s="1">
        <f>(I$37+I$717)/([1]Transport!E$21+[1]Transport!E$25)*I1597</f>
        <v>0</v>
      </c>
      <c r="J1601" s="1">
        <f>(J$37+J$717)/([1]Transport!F$21+[1]Transport!F$25)*J1597</f>
        <v>0</v>
      </c>
      <c r="K1601" s="1">
        <f>(K$37+K$717)/([1]Transport!G$21+[1]Transport!G$25)*K1597</f>
        <v>0</v>
      </c>
    </row>
    <row r="1602" spans="2:11" x14ac:dyDescent="0.35">
      <c r="B1602" t="str">
        <f t="shared" si="973"/>
        <v>SPS4</v>
      </c>
      <c r="C1602" t="str">
        <f t="shared" si="982"/>
        <v>CH</v>
      </c>
      <c r="D1602" t="s">
        <v>1608</v>
      </c>
      <c r="E1602" t="str">
        <f t="shared" si="988"/>
        <v>PJ/yr.</v>
      </c>
      <c r="F1602" s="1" cm="1">
        <f t="array" ref="F1602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2" s="1" cm="1">
        <f t="array" ref="G1602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2" s="1" cm="1">
        <f t="array" ref="H1602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2" s="1" cm="1">
        <f t="array" ref="I1602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2" s="1" cm="1">
        <f t="array" ref="J1602">SUMPRODUCT(("TFHGV-ICEGSLExt"=[1]OUT_TransportEnergyCons!$A$3:$A$1000)*1,("Var_Fin"=[1]OUT_TransportEnergyCons!$B$3:$B$1000)*1,ISNUMBER(SEARCH("gsl",[1]OUT_TransportEnergyCons!$C$3:$C$1000))*1,[1]OUT_TransportEnergyCons!H$3:H$1000)</f>
        <v>0</v>
      </c>
      <c r="K1602" s="1" cm="1">
        <f t="array" ref="K1602">SUMPRODUCT(("TFHGV-ICEGSLExt"=[1]OUT_TransportEnergyCons!$A$3:$A$1000)*1,("Var_Fin"=[1]OUT_TransportEnergyCons!$B$3:$B$1000)*1,ISNUMBER(SEARCH("gsl",[1]OUT_TransportEnergyCons!$C$3:$C$1000))*1,[1]OUT_TransportEnergyCons!I$3:I$1000)</f>
        <v>0</v>
      </c>
    </row>
    <row r="1603" spans="2:11" x14ac:dyDescent="0.35">
      <c r="B1603" t="str">
        <f t="shared" si="973"/>
        <v>SPS4</v>
      </c>
      <c r="C1603" t="str">
        <f t="shared" si="982"/>
        <v>CH</v>
      </c>
      <c r="D1603" t="s">
        <v>1609</v>
      </c>
      <c r="E1603" t="str">
        <f t="shared" si="988"/>
        <v>PJ/yr.</v>
      </c>
      <c r="F1603" s="1" cm="1">
        <f t="array" ref="F1603">SUMPRODUCT(("TFHGV-ICEGSL"=[1]OUT_TransportEnergyCons!$A$3:$A$1000)*1,("Var_Fin"=[1]OUT_TransportEnergyCons!$B$3:$B$1000)*1,ISNUMBER(SEARCH("gsl",[1]OUT_TransportEnergyCons!$C$3:$C$1000))*1,[1]OUT_TransportEnergyCons!D$3:D$1000)</f>
        <v>0</v>
      </c>
      <c r="G1603" s="1" cm="1">
        <f t="array" ref="G1603">SUMPRODUCT(("TFHGV-ICEGSL"=[1]OUT_TransportEnergyCons!$A$3:$A$1000)*1,("Var_Fin"=[1]OUT_TransportEnergyCons!$B$3:$B$1000)*1,ISNUMBER(SEARCH("gsl",[1]OUT_TransportEnergyCons!$C$3:$C$1000))*1,[1]OUT_TransportEnergyCons!E$3:E$1000)</f>
        <v>0</v>
      </c>
      <c r="H1603" s="1" cm="1">
        <f t="array" ref="H1603">SUMPRODUCT(("TFHGV-ICEGSL"=[1]OUT_TransportEnergyCons!$A$3:$A$1000)*1,("Var_Fin"=[1]OUT_TransportEnergyCons!$B$3:$B$1000)*1,ISNUMBER(SEARCH("gsl",[1]OUT_TransportEnergyCons!$C$3:$C$1000))*1,[1]OUT_TransportEnergyCons!F$3:F$1000)</f>
        <v>0</v>
      </c>
      <c r="I1603" s="1" cm="1">
        <f t="array" ref="I1603">SUMPRODUCT(("TFHGV-ICEGSL"=[1]OUT_TransportEnergyCons!$A$3:$A$1000)*1,("Var_Fin"=[1]OUT_TransportEnergyCons!$B$3:$B$1000)*1,ISNUMBER(SEARCH("gsl",[1]OUT_TransportEnergyCons!$C$3:$C$1000))*1,[1]OUT_TransportEnergyCons!G$3:G$1000)</f>
        <v>0</v>
      </c>
      <c r="J1603" s="1" cm="1">
        <f t="array" ref="J1603">SUMPRODUCT(("TFHGV-ICEGSL"=[1]OUT_TransportEnergyCons!$A$3:$A$1000)*1,("Var_Fin"=[1]OUT_TransportEnergyCons!$B$3:$B$1000)*1,ISNUMBER(SEARCH("gsl",[1]OUT_TransportEnergyCons!$C$3:$C$1000))*1,[1]OUT_TransportEnergyCons!H$3:H$1000)</f>
        <v>0</v>
      </c>
      <c r="K1603" s="1" cm="1">
        <f t="array" ref="K1603">SUMPRODUCT(("TFHGV-ICEGSL"=[1]OUT_TransportEnergyCons!$A$3:$A$1000)*1,("Var_Fin"=[1]OUT_TransportEnergyCons!$B$3:$B$1000)*1,ISNUMBER(SEARCH("gsl",[1]OUT_TransportEnergyCons!$C$3:$C$1000))*1,[1]OUT_TransportEnergyCons!I$3:I$1000)</f>
        <v>0</v>
      </c>
    </row>
    <row r="1604" spans="2:11" x14ac:dyDescent="0.35">
      <c r="B1604" t="str">
        <f t="shared" si="973"/>
        <v>SPS4</v>
      </c>
      <c r="C1604" t="str">
        <f t="shared" si="982"/>
        <v>CH</v>
      </c>
      <c r="D1604" t="s">
        <v>1610</v>
      </c>
      <c r="E1604" t="str">
        <f t="shared" si="988"/>
        <v>PJ/yr.</v>
      </c>
      <c r="F1604" s="1">
        <f>SUM(F1609:F1611)</f>
        <v>24.445151962832249</v>
      </c>
      <c r="G1604" s="1">
        <f t="shared" ref="G1604:K1604" si="997">SUM(G1609:G1611)</f>
        <v>22.821345687454816</v>
      </c>
      <c r="H1604" s="1">
        <f t="shared" si="997"/>
        <v>20.446420611776716</v>
      </c>
      <c r="I1604" s="1">
        <f t="shared" si="997"/>
        <v>16.555195214113283</v>
      </c>
      <c r="J1604" s="1">
        <f t="shared" si="997"/>
        <v>15.361048558412548</v>
      </c>
      <c r="K1604" s="1">
        <f t="shared" si="997"/>
        <v>16.608254779813166</v>
      </c>
    </row>
    <row r="1605" spans="2:11" x14ac:dyDescent="0.35">
      <c r="B1605" t="str">
        <f t="shared" si="973"/>
        <v>SPS4</v>
      </c>
      <c r="C1605" t="str">
        <f t="shared" si="982"/>
        <v>CH</v>
      </c>
      <c r="D1605" t="s">
        <v>1611</v>
      </c>
      <c r="E1605" t="str">
        <f t="shared" si="988"/>
        <v>PJ/yr.</v>
      </c>
      <c r="F1605" s="1">
        <f>F1604-F1606</f>
        <v>23.837703485940594</v>
      </c>
      <c r="G1605" s="1">
        <f t="shared" ref="G1605:K1605" si="998">G1604-G1606</f>
        <v>22.226604733913859</v>
      </c>
      <c r="H1605" s="1">
        <f t="shared" si="998"/>
        <v>19.528974277647023</v>
      </c>
      <c r="I1605" s="1">
        <f t="shared" si="998"/>
        <v>15.817246656140842</v>
      </c>
      <c r="J1605" s="1">
        <f t="shared" si="998"/>
        <v>14.511351913307209</v>
      </c>
      <c r="K1605" s="1">
        <f t="shared" si="998"/>
        <v>15.926577134627328</v>
      </c>
    </row>
    <row r="1606" spans="2:11" x14ac:dyDescent="0.35">
      <c r="B1606" t="str">
        <f t="shared" si="973"/>
        <v>SPS4</v>
      </c>
      <c r="C1606" t="str">
        <f t="shared" si="982"/>
        <v>CH</v>
      </c>
      <c r="D1606" t="s">
        <v>1612</v>
      </c>
      <c r="E1606" t="str">
        <f t="shared" si="988"/>
        <v>PJ/yr.</v>
      </c>
      <c r="F1606" s="1">
        <f>SUM(F1607:F1608)</f>
        <v>0.60744847689165482</v>
      </c>
      <c r="G1606" s="1">
        <f t="shared" ref="G1606:K1606" si="999">SUM(G1607:G1608)</f>
        <v>0.59474095354095768</v>
      </c>
      <c r="H1606" s="1">
        <f t="shared" si="999"/>
        <v>0.91744633412969134</v>
      </c>
      <c r="I1606" s="1">
        <f t="shared" si="999"/>
        <v>0.73794855797244097</v>
      </c>
      <c r="J1606" s="1">
        <f t="shared" si="999"/>
        <v>0.84969664510534049</v>
      </c>
      <c r="K1606" s="1">
        <f t="shared" si="999"/>
        <v>0.68167764518583718</v>
      </c>
    </row>
    <row r="1607" spans="2:11" x14ac:dyDescent="0.35">
      <c r="B1607" t="str">
        <f t="shared" si="973"/>
        <v>SPS4</v>
      </c>
      <c r="C1607" t="str">
        <f t="shared" si="982"/>
        <v>CH</v>
      </c>
      <c r="D1607" t="s">
        <v>1613</v>
      </c>
      <c r="E1607" t="str">
        <f t="shared" si="988"/>
        <v>PJ/yr.</v>
      </c>
      <c r="F1607" s="1">
        <f>[1]Transport!B$26/SUM([1]Transport!B$22,[1]Transport!B$26)*F1604*(F$33+F$580)/(F$33+F$580+F$36)</f>
        <v>0.60744847689165482</v>
      </c>
      <c r="G1607" s="1">
        <f>[1]Transport!C$26/SUM([1]Transport!C$22,[1]Transport!C$26)*G1604*(G$33+G$580)/(G$33+G$580+G$36)</f>
        <v>0.59474095354095768</v>
      </c>
      <c r="H1607" s="1">
        <f>[1]Transport!D$26/SUM([1]Transport!D$22,[1]Transport!D$26)*H1604*(H$33+H$580)/(H$33+H$580+H$36)</f>
        <v>0.91744633412969134</v>
      </c>
      <c r="I1607" s="1">
        <f>[1]Transport!E$26/SUM([1]Transport!E$22,[1]Transport!E$26)*I1604*(I$33+I$580)/(I$33+I$580+I$36)</f>
        <v>0.73794855797244097</v>
      </c>
      <c r="J1607" s="1">
        <f>[1]Transport!F$26/SUM([1]Transport!F$22,[1]Transport!F$26)*J1604*(J$33+J$580)/(J$33+J$580+J$36)</f>
        <v>0.54537983476833196</v>
      </c>
      <c r="K1607" s="1">
        <f>[1]Transport!G$26/SUM([1]Transport!G$22,[1]Transport!G$26)*K1604*(K$33+K$580)/(K$33+K$580+K$36)</f>
        <v>0.68167764518583718</v>
      </c>
    </row>
    <row r="1608" spans="2:11" x14ac:dyDescent="0.35">
      <c r="B1608" t="str">
        <f t="shared" si="973"/>
        <v>SPS4</v>
      </c>
      <c r="C1608" t="str">
        <f t="shared" si="982"/>
        <v>CH</v>
      </c>
      <c r="D1608" t="s">
        <v>1614</v>
      </c>
      <c r="E1608" t="str">
        <f t="shared" si="988"/>
        <v>PJ/yr.</v>
      </c>
      <c r="F1608" s="1">
        <f>(F$36+F$716)/([1]Transport!B$22+[1]Transport!B$26)*F1604</f>
        <v>0</v>
      </c>
      <c r="G1608" s="1">
        <f>(G$36+G$716)/([1]Transport!C$22+[1]Transport!C$26)*G1604</f>
        <v>0</v>
      </c>
      <c r="H1608" s="1">
        <f>(H$36+H$716)/([1]Transport!D$22+[1]Transport!D$26)*H1604</f>
        <v>0</v>
      </c>
      <c r="I1608" s="1">
        <f>(I$36+I$716)/([1]Transport!E$22+[1]Transport!E$26)*I1604</f>
        <v>0</v>
      </c>
      <c r="J1608" s="1">
        <f>(J$36+J$716)/([1]Transport!F$22+[1]Transport!F$26)*J1604</f>
        <v>0.30431681033700853</v>
      </c>
      <c r="K1608" s="1">
        <f>(K$36+K$716)/([1]Transport!G$22+[1]Transport!G$26)*K1604</f>
        <v>0</v>
      </c>
    </row>
    <row r="1609" spans="2:11" x14ac:dyDescent="0.35">
      <c r="B1609" t="str">
        <f t="shared" si="973"/>
        <v>SPS4</v>
      </c>
      <c r="C1609" t="str">
        <f t="shared" si="982"/>
        <v>CH</v>
      </c>
      <c r="D1609" t="s">
        <v>1615</v>
      </c>
      <c r="E1609" t="str">
        <f t="shared" si="988"/>
        <v>PJ/yr.</v>
      </c>
      <c r="F1609" s="1" cm="1">
        <f t="array" ref="F1609">SUMPRODUCT(("TFHGV-ICEdslExt"=[1]OUT_TransportEnergyCons!$A$3:$A$1000)*1,("Var_Fin"=[1]OUT_TransportEnergyCons!$B$3:$B$1000)*1,ISNUMBER(SEARCH("dsl",[1]OUT_TransportEnergyCons!$C$3:$C$1000))*1,[1]OUT_TransportEnergyCons!D$3:D$1000)</f>
        <v>19.238304870533774</v>
      </c>
      <c r="G1609" s="1" cm="1">
        <f t="array" ref="G1609">SUMPRODUCT(("TFHGV-ICEdslExt"=[1]OUT_TransportEnergyCons!$A$3:$A$1000)*1,("Var_Fin"=[1]OUT_TransportEnergyCons!$B$3:$B$1000)*1,ISNUMBER(SEARCH("dsl",[1]OUT_TransportEnergyCons!$C$3:$C$1000))*1,[1]OUT_TransportEnergyCons!E$3:E$1000)</f>
        <v>15.55906209911082</v>
      </c>
      <c r="H1609" s="1" cm="1">
        <f t="array" ref="H1609">SUMPRODUCT(("TFHGV-ICEdslExt"=[1]OUT_TransportEnergyCons!$A$3:$A$1000)*1,("Var_Fin"=[1]OUT_TransportEnergyCons!$B$3:$B$1000)*1,ISNUMBER(SEARCH("dsl",[1]OUT_TransportEnergyCons!$C$3:$C$1000))*1,[1]OUT_TransportEnergyCons!F$3:F$1000)</f>
        <v>11.477648177768426</v>
      </c>
      <c r="I1609" s="1" cm="1">
        <f t="array" ref="I1609">SUMPRODUCT(("TFHGV-ICEdslExt"=[1]OUT_TransportEnergyCons!$A$3:$A$1000)*1,("Var_Fin"=[1]OUT_TransportEnergyCons!$B$3:$B$1000)*1,ISNUMBER(SEARCH("dsl",[1]OUT_TransportEnergyCons!$C$3:$C$1000))*1,[1]OUT_TransportEnergyCons!G$3:G$1000)</f>
        <v>4.9499019653406195</v>
      </c>
      <c r="J1609" s="1" cm="1">
        <f t="array" ref="J1609">SUMPRODUCT(("TFHGV-ICEdslExt"=[1]OUT_TransportEnergyCons!$A$3:$A$1000)*1,("Var_Fin"=[1]OUT_TransportEnergyCons!$B$3:$B$1000)*1,ISNUMBER(SEARCH("dsl",[1]OUT_TransportEnergyCons!$C$3:$C$1000))*1,[1]OUT_TransportEnergyCons!H$3:H$1000)</f>
        <v>0</v>
      </c>
      <c r="K1609" s="1" cm="1">
        <f t="array" ref="K1609">SUMPRODUCT(("TFHGV-ICEdslExt"=[1]OUT_TransportEnergyCons!$A$3:$A$1000)*1,("Var_Fin"=[1]OUT_TransportEnergyCons!$B$3:$B$1000)*1,ISNUMBER(SEARCH("dsl",[1]OUT_TransportEnergyCons!$C$3:$C$1000))*1,[1]OUT_TransportEnergyCons!I$3:I$1000)</f>
        <v>0</v>
      </c>
    </row>
    <row r="1610" spans="2:11" x14ac:dyDescent="0.35">
      <c r="B1610" t="str">
        <f t="shared" si="973"/>
        <v>SPS4</v>
      </c>
      <c r="C1610" t="str">
        <f t="shared" si="982"/>
        <v>CH</v>
      </c>
      <c r="D1610" t="s">
        <v>1616</v>
      </c>
      <c r="E1610" t="str">
        <f t="shared" si="988"/>
        <v>PJ/yr.</v>
      </c>
      <c r="F1610" s="1" cm="1">
        <f t="array" ref="F1610">SUMPRODUCT(("TFHGV-ICEdsl"=[1]OUT_TransportEnergyCons!$A$3:$A$1000)*1,("Var_Fin"=[1]OUT_TransportEnergyCons!$B$3:$B$1000)*1,ISNUMBER(SEARCH("dsl",[1]OUT_TransportEnergyCons!$C$3:$C$1000))*1,[1]OUT_TransportEnergyCons!D$3:D$1000)</f>
        <v>5.2068470922984753</v>
      </c>
      <c r="G1610" s="1" cm="1">
        <f t="array" ref="G1610">SUMPRODUCT(("TFHGV-ICEdsl"=[1]OUT_TransportEnergyCons!$A$3:$A$1000)*1,("Var_Fin"=[1]OUT_TransportEnergyCons!$B$3:$B$1000)*1,ISNUMBER(SEARCH("dsl",[1]OUT_TransportEnergyCons!$C$3:$C$1000))*1,[1]OUT_TransportEnergyCons!E$3:E$1000)</f>
        <v>6.1035328984264074</v>
      </c>
      <c r="H1610" s="1" cm="1">
        <f t="array" ref="H1610">SUMPRODUCT(("TFHGV-ICEdsl"=[1]OUT_TransportEnergyCons!$A$3:$A$1000)*1,("Var_Fin"=[1]OUT_TransportEnergyCons!$B$3:$B$1000)*1,ISNUMBER(SEARCH("dsl",[1]OUT_TransportEnergyCons!$C$3:$C$1000))*1,[1]OUT_TransportEnergyCons!F$3:F$1000)</f>
        <v>4.7862600011005396</v>
      </c>
      <c r="I1610" s="1" cm="1">
        <f t="array" ref="I1610">SUMPRODUCT(("TFHGV-ICEdsl"=[1]OUT_TransportEnergyCons!$A$3:$A$1000)*1,("Var_Fin"=[1]OUT_TransportEnergyCons!$B$3:$B$1000)*1,ISNUMBER(SEARCH("dsl",[1]OUT_TransportEnergyCons!$C$3:$C$1000))*1,[1]OUT_TransportEnergyCons!G$3:G$1000)</f>
        <v>0.44178050162066712</v>
      </c>
      <c r="J1610" s="1" cm="1">
        <f t="array" ref="J1610">SUMPRODUCT(("TFHGV-ICEdsl"=[1]OUT_TransportEnergyCons!$A$3:$A$1000)*1,("Var_Fin"=[1]OUT_TransportEnergyCons!$B$3:$B$1000)*1,ISNUMBER(SEARCH("dsl",[1]OUT_TransportEnergyCons!$C$3:$C$1000))*1,[1]OUT_TransportEnergyCons!H$3:H$1000)</f>
        <v>3.4096680255529727E-3</v>
      </c>
      <c r="K1610" s="1" cm="1">
        <f t="array" ref="K1610">SUMPRODUCT(("TFHGV-ICEdsl"=[1]OUT_TransportEnergyCons!$A$3:$A$1000)*1,("Var_Fin"=[1]OUT_TransportEnergyCons!$B$3:$B$1000)*1,ISNUMBER(SEARCH("dsl",[1]OUT_TransportEnergyCons!$C$3:$C$1000))*1,[1]OUT_TransportEnergyCons!I$3:I$1000)</f>
        <v>1.2475845118045956E-3</v>
      </c>
    </row>
    <row r="1611" spans="2:11" x14ac:dyDescent="0.35">
      <c r="B1611" t="str">
        <f t="shared" si="973"/>
        <v>SPS4</v>
      </c>
      <c r="C1611" t="str">
        <f t="shared" si="982"/>
        <v>CH</v>
      </c>
      <c r="D1611" t="s">
        <v>1617</v>
      </c>
      <c r="E1611" t="str">
        <f t="shared" si="988"/>
        <v>PJ/yr.</v>
      </c>
      <c r="F1611" s="1" cm="1">
        <f t="array" ref="F1611">SUMPRODUCT(("TFHGV-HYBDSL"=[1]OUT_TransportEnergyCons!$A$3:$A$1000)*1,("Var_Fin"=[1]OUT_TransportEnergyCons!$B$3:$B$1000)*1,ISNUMBER(SEARCH("dsl",[1]OUT_TransportEnergyCons!$C$3:$C$1000))*1,[1]OUT_TransportEnergyCons!D$3:D$1000)</f>
        <v>0</v>
      </c>
      <c r="G1611" s="1" cm="1">
        <f t="array" ref="G1611">SUMPRODUCT(("TFHGV-HYBDSL"=[1]OUT_TransportEnergyCons!$A$3:$A$1000)*1,("Var_Fin"=[1]OUT_TransportEnergyCons!$B$3:$B$1000)*1,ISNUMBER(SEARCH("dsl",[1]OUT_TransportEnergyCons!$C$3:$C$1000))*1,[1]OUT_TransportEnergyCons!E$3:E$1000)</f>
        <v>1.1587506899175897</v>
      </c>
      <c r="H1611" s="1" cm="1">
        <f t="array" ref="H1611">SUMPRODUCT(("TFHGV-HYBDSL"=[1]OUT_TransportEnergyCons!$A$3:$A$1000)*1,("Var_Fin"=[1]OUT_TransportEnergyCons!$B$3:$B$1000)*1,ISNUMBER(SEARCH("dsl",[1]OUT_TransportEnergyCons!$C$3:$C$1000))*1,[1]OUT_TransportEnergyCons!F$3:F$1000)</f>
        <v>4.1825124329077488</v>
      </c>
      <c r="I1611" s="1" cm="1">
        <f t="array" ref="I1611">SUMPRODUCT(("TFHGV-HYBDSL"=[1]OUT_TransportEnergyCons!$A$3:$A$1000)*1,("Var_Fin"=[1]OUT_TransportEnergyCons!$B$3:$B$1000)*1,ISNUMBER(SEARCH("dsl",[1]OUT_TransportEnergyCons!$C$3:$C$1000))*1,[1]OUT_TransportEnergyCons!G$3:G$1000)</f>
        <v>11.163512747151996</v>
      </c>
      <c r="J1611" s="1" cm="1">
        <f t="array" ref="J1611">SUMPRODUCT(("TFHGV-HYBDSL"=[1]OUT_TransportEnergyCons!$A$3:$A$1000)*1,("Var_Fin"=[1]OUT_TransportEnergyCons!$B$3:$B$1000)*1,ISNUMBER(SEARCH("dsl",[1]OUT_TransportEnergyCons!$C$3:$C$1000))*1,[1]OUT_TransportEnergyCons!H$3:H$1000)</f>
        <v>15.357638890386996</v>
      </c>
      <c r="K1611" s="1" cm="1">
        <f t="array" ref="K1611">SUMPRODUCT(("TFHGV-HYBDSL"=[1]OUT_TransportEnergyCons!$A$3:$A$1000)*1,("Var_Fin"=[1]OUT_TransportEnergyCons!$B$3:$B$1000)*1,ISNUMBER(SEARCH("dsl",[1]OUT_TransportEnergyCons!$C$3:$C$1000))*1,[1]OUT_TransportEnergyCons!I$3:I$1000)</f>
        <v>16.60700719530136</v>
      </c>
    </row>
    <row r="1612" spans="2:11" x14ac:dyDescent="0.35">
      <c r="B1612" t="str">
        <f t="shared" si="973"/>
        <v>SPS4</v>
      </c>
      <c r="C1612" t="str">
        <f t="shared" si="982"/>
        <v>CH</v>
      </c>
      <c r="D1612" t="s">
        <v>1618</v>
      </c>
      <c r="E1612" t="str">
        <f t="shared" si="988"/>
        <v>PJ/yr.</v>
      </c>
      <c r="F1612" s="1">
        <f>F1617</f>
        <v>6.2168414001590233E-2</v>
      </c>
      <c r="G1612" s="1">
        <f t="shared" ref="G1612:K1612" si="1000">G1617</f>
        <v>3.3181488472340806E-3</v>
      </c>
      <c r="H1612" s="1">
        <f t="shared" si="1000"/>
        <v>4.3757389505790171E-3</v>
      </c>
      <c r="I1612" s="1">
        <f t="shared" si="1000"/>
        <v>4.2271406218000757E-3</v>
      </c>
      <c r="J1612" s="1">
        <f t="shared" si="1000"/>
        <v>3.818489918876069E-3</v>
      </c>
      <c r="K1612" s="1">
        <f t="shared" si="1000"/>
        <v>3.5841233364293408E-3</v>
      </c>
    </row>
    <row r="1613" spans="2:11" x14ac:dyDescent="0.35">
      <c r="B1613" t="str">
        <f t="shared" si="973"/>
        <v>SPS4</v>
      </c>
      <c r="C1613" t="str">
        <f t="shared" si="982"/>
        <v>CH</v>
      </c>
      <c r="D1613" t="s">
        <v>1619</v>
      </c>
      <c r="E1613" t="str">
        <f t="shared" si="988"/>
        <v>PJ/yr.</v>
      </c>
      <c r="F1613" s="1">
        <f>F1612-F1614</f>
        <v>5.7522307643399141E-2</v>
      </c>
      <c r="G1613" s="1">
        <f t="shared" ref="G1613:K1613" si="1001">G1612-G1614</f>
        <v>2.9956306213650722E-3</v>
      </c>
      <c r="H1613" s="1">
        <f t="shared" si="1001"/>
        <v>3.9588365737125751E-3</v>
      </c>
      <c r="I1613" s="1">
        <f t="shared" si="1001"/>
        <v>4.0388168388993144E-3</v>
      </c>
      <c r="J1613" s="1">
        <f t="shared" si="1001"/>
        <v>-0.16470937424923074</v>
      </c>
      <c r="K1613" s="1">
        <f t="shared" si="1001"/>
        <v>-0.46094037007135391</v>
      </c>
    </row>
    <row r="1614" spans="2:11" x14ac:dyDescent="0.35">
      <c r="B1614" t="str">
        <f t="shared" si="973"/>
        <v>SPS4</v>
      </c>
      <c r="C1614" t="str">
        <f t="shared" si="982"/>
        <v>CH</v>
      </c>
      <c r="D1614" t="s">
        <v>1620</v>
      </c>
      <c r="E1614" t="str">
        <f t="shared" si="988"/>
        <v>PJ/yr.</v>
      </c>
      <c r="F1614" s="1">
        <f>SUM(F1615:F1616)</f>
        <v>4.6461063581910928E-3</v>
      </c>
      <c r="G1614" s="1">
        <f t="shared" ref="G1614:K1614" si="1002">SUM(G1615:G1616)</f>
        <v>3.2251822586900833E-4</v>
      </c>
      <c r="H1614" s="1">
        <f t="shared" si="1002"/>
        <v>4.1690237686644232E-4</v>
      </c>
      <c r="I1614" s="1">
        <f t="shared" si="1002"/>
        <v>1.8832378290076107E-4</v>
      </c>
      <c r="J1614" s="1">
        <f t="shared" si="1002"/>
        <v>0.16852786416810681</v>
      </c>
      <c r="K1614" s="1">
        <f t="shared" si="1002"/>
        <v>0.46452449340778323</v>
      </c>
    </row>
    <row r="1615" spans="2:11" x14ac:dyDescent="0.35">
      <c r="B1615" t="str">
        <f t="shared" si="973"/>
        <v>SPS4</v>
      </c>
      <c r="C1615" t="str">
        <f t="shared" si="982"/>
        <v>CH</v>
      </c>
      <c r="D1615" t="s">
        <v>1621</v>
      </c>
      <c r="E1615" t="str">
        <f t="shared" si="988"/>
        <v>PJ/yr.</v>
      </c>
      <c r="F1615" s="1">
        <f>[1]Transport!B$27/SUM([1]Transport!B$24,[1]Transport!B$27)*F1612*(F$45+F$612)/(F$45+F$612+F$47)</f>
        <v>4.6461063581910928E-3</v>
      </c>
      <c r="G1615" s="1">
        <f>[1]Transport!C$27/SUM([1]Transport!C$24,[1]Transport!C$27)*G1612*(G$45+G$612)/(G$45+G$612+G$47)</f>
        <v>3.2251822586900833E-4</v>
      </c>
      <c r="H1615" s="1">
        <f>[1]Transport!D$27/SUM([1]Transport!D$24,[1]Transport!D$27)*H1612*(H$45+H$612)/(H$45+H$612+H$47)</f>
        <v>4.1690237686644232E-4</v>
      </c>
      <c r="I1615" s="1">
        <f>[1]Transport!E$27/SUM([1]Transport!E$24,[1]Transport!E$27)*I1612*(I$45+I$612)/(I$45+I$612+I$47)</f>
        <v>1.8832378290076107E-4</v>
      </c>
      <c r="J1615" s="1">
        <f>[1]Transport!F$27/SUM([1]Transport!F$24,[1]Transport!F$27)*J1612*(J$45+J$612)/(J$45+J$612+J$47)</f>
        <v>6.8395338848029603E-5</v>
      </c>
      <c r="K1615" s="1">
        <f>[1]Transport!G$27/SUM([1]Transport!G$24,[1]Transport!G$27)*K1612*(K$45+K$612)/(K$45+K$612+K$47)</f>
        <v>5.3981606472172169E-5</v>
      </c>
    </row>
    <row r="1616" spans="2:11" x14ac:dyDescent="0.35">
      <c r="B1616" t="str">
        <f t="shared" si="973"/>
        <v>SPS4</v>
      </c>
      <c r="C1616" t="str">
        <f t="shared" si="982"/>
        <v>CH</v>
      </c>
      <c r="D1616" t="s">
        <v>1622</v>
      </c>
      <c r="E1616" t="str">
        <f t="shared" si="988"/>
        <v>PJ/yr.</v>
      </c>
      <c r="F1616" s="1">
        <f>(F$47+F$714)/([1]Transport!B$24+[1]Transport!B$27)*F1612</f>
        <v>0</v>
      </c>
      <c r="G1616" s="1">
        <f>(G$47+G$714)/([1]Transport!C$24+[1]Transport!C$27)*G1612</f>
        <v>0</v>
      </c>
      <c r="H1616" s="1">
        <f>(H$47+H$714)/([1]Transport!D$24+[1]Transport!D$27)*H1612</f>
        <v>0</v>
      </c>
      <c r="I1616" s="1">
        <f>(I$47+I$714)/([1]Transport!E$24+[1]Transport!E$27)*I1612</f>
        <v>0</v>
      </c>
      <c r="J1616" s="1">
        <f>(J$47+J$714)/([1]Transport!F$24+[1]Transport!F$27)*J1612</f>
        <v>0.16845946882925877</v>
      </c>
      <c r="K1616" s="1">
        <f>(K$47+K$714)/([1]Transport!G$24+[1]Transport!G$27)*K1612</f>
        <v>0.46447051180131105</v>
      </c>
    </row>
    <row r="1617" spans="2:11" x14ac:dyDescent="0.35">
      <c r="B1617" t="str">
        <f t="shared" si="973"/>
        <v>SPS4</v>
      </c>
      <c r="C1617" t="str">
        <f t="shared" si="982"/>
        <v>CH</v>
      </c>
      <c r="D1617" t="s">
        <v>1623</v>
      </c>
      <c r="E1617" t="str">
        <f t="shared" si="988"/>
        <v>PJ/yr.</v>
      </c>
      <c r="F1617" s="1" cm="1">
        <f t="array" ref="F1617">SUMPRODUCT(("TFHGV-ICENGA"=[1]OUT_TransportEnergyCons!$A$3:$A$1000)*1,("Var_Fin"=[1]OUT_TransportEnergyCons!$B$3:$B$1000)*1,ISNUMBER(SEARCH("nga",[1]OUT_TransportEnergyCons!$C$3:$C$1000))*1,[1]OUT_TransportEnergyCons!D$3:D$1000)</f>
        <v>6.2168414001590233E-2</v>
      </c>
      <c r="G1617" s="1" cm="1">
        <f t="array" ref="G1617">SUMPRODUCT(("TFHGV-ICENGA"=[1]OUT_TransportEnergyCons!$A$3:$A$1000)*1,("Var_Fin"=[1]OUT_TransportEnergyCons!$B$3:$B$1000)*1,ISNUMBER(SEARCH("nga",[1]OUT_TransportEnergyCons!$C$3:$C$1000))*1,[1]OUT_TransportEnergyCons!E$3:E$1000)</f>
        <v>3.3181488472340806E-3</v>
      </c>
      <c r="H1617" s="1" cm="1">
        <f t="array" ref="H1617">SUMPRODUCT(("TFHGV-ICENGA"=[1]OUT_TransportEnergyCons!$A$3:$A$1000)*1,("Var_Fin"=[1]OUT_TransportEnergyCons!$B$3:$B$1000)*1,ISNUMBER(SEARCH("nga",[1]OUT_TransportEnergyCons!$C$3:$C$1000))*1,[1]OUT_TransportEnergyCons!F$3:F$1000)</f>
        <v>4.3757389505790171E-3</v>
      </c>
      <c r="I1617" s="1" cm="1">
        <f t="array" ref="I1617">SUMPRODUCT(("TFHGV-ICENGA"=[1]OUT_TransportEnergyCons!$A$3:$A$1000)*1,("Var_Fin"=[1]OUT_TransportEnergyCons!$B$3:$B$1000)*1,ISNUMBER(SEARCH("nga",[1]OUT_TransportEnergyCons!$C$3:$C$1000))*1,[1]OUT_TransportEnergyCons!G$3:G$1000)</f>
        <v>4.2271406218000757E-3</v>
      </c>
      <c r="J1617" s="1" cm="1">
        <f t="array" ref="J1617">SUMPRODUCT(("TFHGV-ICENGA"=[1]OUT_TransportEnergyCons!$A$3:$A$1000)*1,("Var_Fin"=[1]OUT_TransportEnergyCons!$B$3:$B$1000)*1,ISNUMBER(SEARCH("nga",[1]OUT_TransportEnergyCons!$C$3:$C$1000))*1,[1]OUT_TransportEnergyCons!H$3:H$1000)</f>
        <v>3.818489918876069E-3</v>
      </c>
      <c r="K1617" s="1" cm="1">
        <f t="array" ref="K1617">SUMPRODUCT(("TFHGV-ICENGA"=[1]OUT_TransportEnergyCons!$A$3:$A$1000)*1,("Var_Fin"=[1]OUT_TransportEnergyCons!$B$3:$B$1000)*1,ISNUMBER(SEARCH("nga",[1]OUT_TransportEnergyCons!$C$3:$C$1000))*1,[1]OUT_TransportEnergyCons!I$3:I$1000)</f>
        <v>3.5841233364293408E-3</v>
      </c>
    </row>
    <row r="1618" spans="2:11" x14ac:dyDescent="0.35">
      <c r="B1618" s="2" t="str">
        <f t="shared" si="973"/>
        <v>SPS4</v>
      </c>
      <c r="C1618" s="2" t="str">
        <f t="shared" si="982"/>
        <v>CH</v>
      </c>
      <c r="D1618" s="2" t="s">
        <v>1624</v>
      </c>
      <c r="E1618" s="2" t="s">
        <v>1518</v>
      </c>
      <c r="F1618" s="3">
        <f>SUM(F1619:F1627)</f>
        <v>2.2034295415016723</v>
      </c>
      <c r="G1618" s="3">
        <f t="shared" ref="G1618" si="1003">SUM(G1619:G1627)</f>
        <v>2.226359479054004</v>
      </c>
      <c r="H1618" s="3">
        <f t="shared" ref="H1618" si="1004">SUM(H1619:H1627)</f>
        <v>2.2569016276801515</v>
      </c>
      <c r="I1618" s="3">
        <f t="shared" ref="I1618" si="1005">SUM(I1619:I1627)</f>
        <v>2.3103661158568727</v>
      </c>
      <c r="J1618" s="3">
        <f t="shared" ref="J1618" si="1006">SUM(J1619:J1627)</f>
        <v>2.5116953056087414</v>
      </c>
      <c r="K1618" s="3">
        <f t="shared" ref="K1618" si="1007">SUM(K1619:K1627)</f>
        <v>2.7154832541481735</v>
      </c>
    </row>
    <row r="1619" spans="2:11" x14ac:dyDescent="0.35">
      <c r="B1619" t="str">
        <f t="shared" si="973"/>
        <v>SPS4</v>
      </c>
      <c r="C1619" t="str">
        <f t="shared" si="982"/>
        <v>CH</v>
      </c>
      <c r="D1619" t="s">
        <v>1625</v>
      </c>
      <c r="E1619" t="s">
        <v>1518</v>
      </c>
      <c r="F1619" s="1" cm="1">
        <f t="array" ref="F1619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19" s="1" cm="1">
        <f t="array" ref="G1619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19" s="1" cm="1">
        <f t="array" ref="H1619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19" s="1" cm="1">
        <f t="array" ref="I1619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19" s="1" cm="1">
        <f t="array" ref="J1619">SUMPRODUCT(("TFHGV-BeVELCExt"=[1]OUT_TransportEnergyCons!$A$3:$A$1000)*1,("var_fout"=[1]OUT_TransportEnergyCons!$B$3:$B$1000)*1,ISNUMBER(SEARCH("TFHGV",[1]OUT_TransportEnergyCons!$C$3:$C$1000))*1,[1]OUT_TransportEnergyCons!H$3:H$1000)</f>
        <v>0</v>
      </c>
      <c r="K1619" s="1" cm="1">
        <f t="array" ref="K1619">SUMPRODUCT(("TFHGV-BeVELCExt"=[1]OUT_TransportEnergyCons!$A$3:$A$1000)*1,("var_fout"=[1]OUT_TransportEnergyCons!$B$3:$B$1000)*1,ISNUMBER(SEARCH("TFHGV",[1]OUT_TransportEnergyCons!$C$3:$C$1000))*1,[1]OUT_TransportEnergyCons!I$3:I$1000)</f>
        <v>0</v>
      </c>
    </row>
    <row r="1620" spans="2:11" x14ac:dyDescent="0.35">
      <c r="B1620" t="str">
        <f t="shared" si="973"/>
        <v>SPS4</v>
      </c>
      <c r="C1620" t="str">
        <f t="shared" si="982"/>
        <v>CH</v>
      </c>
      <c r="D1620" t="s">
        <v>1626</v>
      </c>
      <c r="E1620" t="s">
        <v>1518</v>
      </c>
      <c r="F1620" s="1" cm="1">
        <f t="array" ref="F1620">SUMPRODUCT(("TFHGV-BEVELC"=[1]OUT_TransportEnergyCons!$A$3:$A$1000)*1,("var_fout"=[1]OUT_TransportEnergyCons!$B$3:$B$1000)*1,ISNUMBER(SEARCH("TFHGV",[1]OUT_TransportEnergyCons!$C$3:$C$1000))*1,[1]OUT_TransportEnergyCons!D$3:D$1000)</f>
        <v>1.8489374496397798E-3</v>
      </c>
      <c r="G1620" s="1" cm="1">
        <f t="array" ref="G1620">SUMPRODUCT(("TFHGV-BEVELC"=[1]OUT_TransportEnergyCons!$A$3:$A$1000)*1,("var_fout"=[1]OUT_TransportEnergyCons!$B$3:$B$1000)*1,ISNUMBER(SEARCH("TFHGV",[1]OUT_TransportEnergyCons!$C$3:$C$1000))*1,[1]OUT_TransportEnergyCons!E$3:E$1000)</f>
        <v>4.9957662485713653E-3</v>
      </c>
      <c r="H1620" s="1" cm="1">
        <f t="array" ref="H1620">SUMPRODUCT(("TFHGV-BEVELC"=[1]OUT_TransportEnergyCons!$A$3:$A$1000)*1,("var_fout"=[1]OUT_TransportEnergyCons!$B$3:$B$1000)*1,ISNUMBER(SEARCH("TFHGV",[1]OUT_TransportEnergyCons!$C$3:$C$1000))*1,[1]OUT_TransportEnergyCons!F$3:F$1000)</f>
        <v>5.1639206235781906E-3</v>
      </c>
      <c r="I1620" s="1" cm="1">
        <f t="array" ref="I1620">SUMPRODUCT(("TFHGV-BEVELC"=[1]OUT_TransportEnergyCons!$A$3:$A$1000)*1,("var_fout"=[1]OUT_TransportEnergyCons!$B$3:$B$1000)*1,ISNUMBER(SEARCH("TFHGV",[1]OUT_TransportEnergyCons!$C$3:$C$1000))*1,[1]OUT_TransportEnergyCons!G$3:G$1000)</f>
        <v>1.6183093713287762E-3</v>
      </c>
      <c r="J1620" s="1" cm="1">
        <f t="array" ref="J1620">SUMPRODUCT(("TFHGV-BEVELC"=[1]OUT_TransportEnergyCons!$A$3:$A$1000)*1,("var_fout"=[1]OUT_TransportEnergyCons!$B$3:$B$1000)*1,ISNUMBER(SEARCH("TFHGV",[1]OUT_TransportEnergyCons!$C$3:$C$1000))*1,[1]OUT_TransportEnergyCons!H$3:H$1000)</f>
        <v>3.3645730920053412E-4</v>
      </c>
      <c r="K1620" s="1" cm="1">
        <f t="array" ref="K1620">SUMPRODUCT(("TFHGV-BEVELC"=[1]OUT_TransportEnergyCons!$A$3:$A$1000)*1,("var_fout"=[1]OUT_TransportEnergyCons!$B$3:$B$1000)*1,ISNUMBER(SEARCH("TFHGV",[1]OUT_TransportEnergyCons!$C$3:$C$1000))*1,[1]OUT_TransportEnergyCons!I$3:I$1000)</f>
        <v>1.4442344044000171E-4</v>
      </c>
    </row>
    <row r="1621" spans="2:11" x14ac:dyDescent="0.35">
      <c r="B1621" t="str">
        <f t="shared" si="973"/>
        <v>SPS4</v>
      </c>
      <c r="C1621" t="str">
        <f t="shared" si="982"/>
        <v>CH</v>
      </c>
      <c r="D1621" t="s">
        <v>1627</v>
      </c>
      <c r="E1621" t="s">
        <v>1518</v>
      </c>
      <c r="F1621" s="1" cm="1">
        <f t="array" ref="F1621">SUMPRODUCT(("TFHGV-FCLH2O"=[1]OUT_TransportEnergyCons!$A$3:$A$1000)*1,("var_fout"=[1]OUT_TransportEnergyCons!$B$3:$B$1000)*1,ISNUMBER(SEARCH("TFHGV",[1]OUT_TransportEnergyCons!$C$3:$C$1000))*1,[1]OUT_TransportEnergyCons!D$3:D$1000)</f>
        <v>4.4276915933748838E-4</v>
      </c>
      <c r="G1621" s="1" cm="1">
        <f t="array" ref="G1621">SUMPRODUCT(("TFHGV-FCLH2O"=[1]OUT_TransportEnergyCons!$A$3:$A$1000)*1,("var_fout"=[1]OUT_TransportEnergyCons!$B$3:$B$1000)*1,ISNUMBER(SEARCH("TFHGV",[1]OUT_TransportEnergyCons!$C$3:$C$1000))*1,[1]OUT_TransportEnergyCons!E$3:E$1000)</f>
        <v>1.8928099994947693E-4</v>
      </c>
      <c r="H1621" s="1" cm="1">
        <f t="array" ref="H1621">SUMPRODUCT(("TFHGV-FCLH2O"=[1]OUT_TransportEnergyCons!$A$3:$A$1000)*1,("var_fout"=[1]OUT_TransportEnergyCons!$B$3:$B$1000)*1,ISNUMBER(SEARCH("TFHGV",[1]OUT_TransportEnergyCons!$C$3:$C$1000))*1,[1]OUT_TransportEnergyCons!F$3:F$1000)</f>
        <v>1.8996084134798304E-4</v>
      </c>
      <c r="I1621" s="1" cm="1">
        <f t="array" ref="I1621">SUMPRODUCT(("TFHGV-FCLH2O"=[1]OUT_TransportEnergyCons!$A$3:$A$1000)*1,("var_fout"=[1]OUT_TransportEnergyCons!$B$3:$B$1000)*1,ISNUMBER(SEARCH("TFHGV",[1]OUT_TransportEnergyCons!$C$3:$C$1000))*1,[1]OUT_TransportEnergyCons!G$3:G$1000)</f>
        <v>4.0020561652138196E-5</v>
      </c>
      <c r="J1621" s="1" cm="1">
        <f t="array" ref="J1621">SUMPRODUCT(("TFHGV-FCLH2O"=[1]OUT_TransportEnergyCons!$A$3:$A$1000)*1,("var_fout"=[1]OUT_TransportEnergyCons!$B$3:$B$1000)*1,ISNUMBER(SEARCH("TFHGV",[1]OUT_TransportEnergyCons!$C$3:$C$1000))*1,[1]OUT_TransportEnergyCons!H$3:H$1000)</f>
        <v>3.7199057708638521E-5</v>
      </c>
      <c r="K1621" s="1" cm="1">
        <f t="array" ref="K1621">SUMPRODUCT(("TFHGV-FCLH2O"=[1]OUT_TransportEnergyCons!$A$3:$A$1000)*1,("var_fout"=[1]OUT_TransportEnergyCons!$B$3:$B$1000)*1,ISNUMBER(SEARCH("TFHGV",[1]OUT_TransportEnergyCons!$C$3:$C$1000))*1,[1]OUT_TransportEnergyCons!I$3:I$1000)</f>
        <v>3.4165797694754796E-5</v>
      </c>
    </row>
    <row r="1622" spans="2:11" x14ac:dyDescent="0.35">
      <c r="B1622" t="str">
        <f t="shared" si="973"/>
        <v>SPS4</v>
      </c>
      <c r="C1622" t="str">
        <f t="shared" si="982"/>
        <v>CH</v>
      </c>
      <c r="D1622" t="s">
        <v>1628</v>
      </c>
      <c r="E1622" t="s">
        <v>1518</v>
      </c>
      <c r="F1622" s="1" cm="1">
        <f t="array" ref="F1622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2" s="1" cm="1">
        <f t="array" ref="G1622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2" s="1" cm="1">
        <f t="array" ref="H1622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2" s="1" cm="1">
        <f t="array" ref="I1622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2" s="1" cm="1">
        <f t="array" ref="J1622">SUMPRODUCT(("TFHGV-ICEGSLExt"=[1]OUT_TransportEnergyCons!$A$3:$A$1000)*1,("var_fout"=[1]OUT_TransportEnergyCons!$B$3:$B$1000)*1,ISNUMBER(SEARCH("TFHGV",[1]OUT_TransportEnergyCons!$C$3:$C$1000))*1,[1]OUT_TransportEnergyCons!H$3:H$1000)</f>
        <v>0</v>
      </c>
      <c r="K1622" s="1" cm="1">
        <f t="array" ref="K1622">SUMPRODUCT(("TFHGV-ICEGSLExt"=[1]OUT_TransportEnergyCons!$A$3:$A$1000)*1,("var_fout"=[1]OUT_TransportEnergyCons!$B$3:$B$1000)*1,ISNUMBER(SEARCH("TFHGV",[1]OUT_TransportEnergyCons!$C$3:$C$1000))*1,[1]OUT_TransportEnergyCons!I$3:I$1000)</f>
        <v>0</v>
      </c>
    </row>
    <row r="1623" spans="2:11" x14ac:dyDescent="0.35">
      <c r="B1623" t="str">
        <f t="shared" si="973"/>
        <v>SPS4</v>
      </c>
      <c r="C1623" t="str">
        <f t="shared" si="982"/>
        <v>CH</v>
      </c>
      <c r="D1623" t="s">
        <v>1629</v>
      </c>
      <c r="E1623" t="s">
        <v>1518</v>
      </c>
      <c r="F1623" s="1" cm="1">
        <f t="array" ref="F1623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3" s="1" cm="1">
        <f t="array" ref="G1623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3" s="1" cm="1">
        <f t="array" ref="H1623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3" s="1" cm="1">
        <f t="array" ref="I1623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3" s="1" cm="1">
        <f t="array" ref="J1623">SUMPRODUCT(("TFHGV-ICEGSL"=[1]OUT_TransportEnergyCons!$A$3:$A$1000)*1,("var_fout"=[1]OUT_TransportEnergyCons!$B$3:$B$1000)*1,ISNUMBER(SEARCH("TFHGV",[1]OUT_TransportEnergyCons!$C$3:$C$1000))*1,[1]OUT_TransportEnergyCons!H$3:H$1000)</f>
        <v>0</v>
      </c>
      <c r="K1623" s="1" cm="1">
        <f t="array" ref="K1623">SUMPRODUCT(("TFHGV-ICEGSL"=[1]OUT_TransportEnergyCons!$A$3:$A$1000)*1,("var_fout"=[1]OUT_TransportEnergyCons!$B$3:$B$1000)*1,ISNUMBER(SEARCH("TFHGV",[1]OUT_TransportEnergyCons!$C$3:$C$1000))*1,[1]OUT_TransportEnergyCons!I$3:I$1000)</f>
        <v>0</v>
      </c>
    </row>
    <row r="1624" spans="2:11" x14ac:dyDescent="0.35">
      <c r="B1624" t="str">
        <f t="shared" si="973"/>
        <v>SPS4</v>
      </c>
      <c r="C1624" t="str">
        <f t="shared" si="982"/>
        <v>CH</v>
      </c>
      <c r="D1624" t="s">
        <v>1630</v>
      </c>
      <c r="E1624" t="s">
        <v>1518</v>
      </c>
      <c r="F1624" s="1" cm="1">
        <f t="array" ref="F1624">SUMPRODUCT(("TFHGV-ICEdslExt"=[1]OUT_TransportEnergyCons!$A$3:$A$1000)*1,("var_fout"=[1]OUT_TransportEnergyCons!$B$3:$B$1000)*1,ISNUMBER(SEARCH("TFHGV",[1]OUT_TransportEnergyCons!$C$3:$C$1000))*1,[1]OUT_TransportEnergyCons!D$3:D$1000)</f>
        <v>1.576649532343823</v>
      </c>
      <c r="G1624" s="1" cm="1">
        <f t="array" ref="G1624">SUMPRODUCT(("TFHGV-ICEdslExt"=[1]OUT_TransportEnergyCons!$A$3:$A$1000)*1,("var_fout"=[1]OUT_TransportEnergyCons!$B$3:$B$1000)*1,ISNUMBER(SEARCH("TFHGV",[1]OUT_TransportEnergyCons!$C$3:$C$1000))*1,[1]OUT_TransportEnergyCons!E$3:E$1000)</f>
        <v>1.3069022570590505</v>
      </c>
      <c r="H1624" s="1" cm="1">
        <f t="array" ref="H1624">SUMPRODUCT(("TFHGV-ICEdslExt"=[1]OUT_TransportEnergyCons!$A$3:$A$1000)*1,("var_fout"=[1]OUT_TransportEnergyCons!$B$3:$B$1000)*1,ISNUMBER(SEARCH("TFHGV",[1]OUT_TransportEnergyCons!$C$3:$C$1000))*1,[1]OUT_TransportEnergyCons!F$3:F$1000)</f>
        <v>0.99924443751648473</v>
      </c>
      <c r="I1624" s="1" cm="1">
        <f t="array" ref="I1624">SUMPRODUCT(("TFHGV-ICEdslExt"=[1]OUT_TransportEnergyCons!$A$3:$A$1000)*1,("var_fout"=[1]OUT_TransportEnergyCons!$B$3:$B$1000)*1,ISNUMBER(SEARCH("TFHGV",[1]OUT_TransportEnergyCons!$C$3:$C$1000))*1,[1]OUT_TransportEnergyCons!G$3:G$1000)</f>
        <v>0.43093863207089533</v>
      </c>
      <c r="J1624" s="1" cm="1">
        <f t="array" ref="J1624">SUMPRODUCT(("TFHGV-ICEdslExt"=[1]OUT_TransportEnergyCons!$A$3:$A$1000)*1,("var_fout"=[1]OUT_TransportEnergyCons!$B$3:$B$1000)*1,ISNUMBER(SEARCH("TFHGV",[1]OUT_TransportEnergyCons!$C$3:$C$1000))*1,[1]OUT_TransportEnergyCons!H$3:H$1000)</f>
        <v>0</v>
      </c>
      <c r="K1624" s="1" cm="1">
        <f t="array" ref="K1624">SUMPRODUCT(("TFHGV-ICEdslExt"=[1]OUT_TransportEnergyCons!$A$3:$A$1000)*1,("var_fout"=[1]OUT_TransportEnergyCons!$B$3:$B$1000)*1,ISNUMBER(SEARCH("TFHGV",[1]OUT_TransportEnergyCons!$C$3:$C$1000))*1,[1]OUT_TransportEnergyCons!I$3:I$1000)</f>
        <v>0</v>
      </c>
    </row>
    <row r="1625" spans="2:11" x14ac:dyDescent="0.35">
      <c r="B1625" t="str">
        <f t="shared" si="973"/>
        <v>SPS4</v>
      </c>
      <c r="C1625" t="str">
        <f t="shared" si="982"/>
        <v>CH</v>
      </c>
      <c r="D1625" t="s">
        <v>1631</v>
      </c>
      <c r="E1625" t="s">
        <v>1518</v>
      </c>
      <c r="F1625" s="1" cm="1">
        <f t="array" ref="F1625">SUMPRODUCT(("TFHGV-ICEdsl"=[1]OUT_TransportEnergyCons!$A$3:$A$1000)*1,("var_fout"=[1]OUT_TransportEnergyCons!$B$3:$B$1000)*1,ISNUMBER(SEARCH("TFHGV",[1]OUT_TransportEnergyCons!$C$3:$C$1000))*1,[1]OUT_TransportEnergyCons!D$3:D$1000)</f>
        <v>0.61807105171787136</v>
      </c>
      <c r="G1625" s="1" cm="1">
        <f t="array" ref="G1625">SUMPRODUCT(("TFHGV-ICEdsl"=[1]OUT_TransportEnergyCons!$A$3:$A$1000)*1,("var_fout"=[1]OUT_TransportEnergyCons!$B$3:$B$1000)*1,ISNUMBER(SEARCH("TFHGV",[1]OUT_TransportEnergyCons!$C$3:$C$1000))*1,[1]OUT_TransportEnergyCons!E$3:E$1000)</f>
        <v>0.72451080872047613</v>
      </c>
      <c r="H1625" s="1" cm="1">
        <f t="array" ref="H1625">SUMPRODUCT(("TFHGV-ICEdsl"=[1]OUT_TransportEnergyCons!$A$3:$A$1000)*1,("var_fout"=[1]OUT_TransportEnergyCons!$B$3:$B$1000)*1,ISNUMBER(SEARCH("TFHGV",[1]OUT_TransportEnergyCons!$C$3:$C$1000))*1,[1]OUT_TransportEnergyCons!F$3:F$1000)</f>
        <v>0.5681458856456475</v>
      </c>
      <c r="I1625" s="1" cm="1">
        <f t="array" ref="I1625">SUMPRODUCT(("TFHGV-ICEdsl"=[1]OUT_TransportEnergyCons!$A$3:$A$1000)*1,("var_fout"=[1]OUT_TransportEnergyCons!$B$3:$B$1000)*1,ISNUMBER(SEARCH("TFHGV",[1]OUT_TransportEnergyCons!$C$3:$C$1000))*1,[1]OUT_TransportEnergyCons!G$3:G$1000)</f>
        <v>5.2440898383401588E-2</v>
      </c>
      <c r="J1625" s="1" cm="1">
        <f t="array" ref="J1625">SUMPRODUCT(("TFHGV-ICEdsl"=[1]OUT_TransportEnergyCons!$A$3:$A$1000)*1,("var_fout"=[1]OUT_TransportEnergyCons!$B$3:$B$1000)*1,ISNUMBER(SEARCH("TFHGV",[1]OUT_TransportEnergyCons!$C$3:$C$1000))*1,[1]OUT_TransportEnergyCons!H$3:H$1000)</f>
        <v>4.0473957948168501E-4</v>
      </c>
      <c r="K1625" s="1" cm="1">
        <f t="array" ref="K1625">SUMPRODUCT(("TFHGV-ICEdsl"=[1]OUT_TransportEnergyCons!$A$3:$A$1000)*1,("var_fout"=[1]OUT_TransportEnergyCons!$B$3:$B$1000)*1,ISNUMBER(SEARCH("TFHGV",[1]OUT_TransportEnergyCons!$C$3:$C$1000))*1,[1]OUT_TransportEnergyCons!I$3:I$1000)</f>
        <v>1.4809266676152859E-4</v>
      </c>
    </row>
    <row r="1626" spans="2:11" x14ac:dyDescent="0.35">
      <c r="B1626" t="str">
        <f t="shared" si="973"/>
        <v>SPS4</v>
      </c>
      <c r="C1626" t="str">
        <f t="shared" si="982"/>
        <v>CH</v>
      </c>
      <c r="D1626" t="s">
        <v>1632</v>
      </c>
      <c r="E1626" t="s">
        <v>1518</v>
      </c>
      <c r="F1626" s="1" cm="1">
        <f t="array" ref="F1626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6" s="1" cm="1">
        <f t="array" ref="G1626">SUMPRODUCT(("TFHGV-HYBDSL"=[1]OUT_TransportEnergyCons!$A$3:$A$1000)*1,("var_fout"=[1]OUT_TransportEnergyCons!$B$3:$B$1000)*1,ISNUMBER(SEARCH("TFHGV",[1]OUT_TransportEnergyCons!$C$3:$C$1000))*1,[1]OUT_TransportEnergyCons!E$3:E$1000)</f>
        <v>0.18941732764577487</v>
      </c>
      <c r="H1626" s="1" cm="1">
        <f t="array" ref="H1626">SUMPRODUCT(("TFHGV-HYBDSL"=[1]OUT_TransportEnergyCons!$A$3:$A$1000)*1,("var_fout"=[1]OUT_TransportEnergyCons!$B$3:$B$1000)*1,ISNUMBER(SEARCH("TFHGV",[1]OUT_TransportEnergyCons!$C$3:$C$1000))*1,[1]OUT_TransportEnergyCons!F$3:F$1000)</f>
        <v>0.6837021412629819</v>
      </c>
      <c r="I1626" s="1" cm="1">
        <f t="array" ref="I1626">SUMPRODUCT(("TFHGV-HYBDSL"=[1]OUT_TransportEnergyCons!$A$3:$A$1000)*1,("var_fout"=[1]OUT_TransportEnergyCons!$B$3:$B$1000)*1,ISNUMBER(SEARCH("TFHGV",[1]OUT_TransportEnergyCons!$C$3:$C$1000))*1,[1]OUT_TransportEnergyCons!G$3:G$1000)</f>
        <v>1.8248642871189669</v>
      </c>
      <c r="J1626" s="1" cm="1">
        <f t="array" ref="J1626">SUMPRODUCT(("TFHGV-HYBDSL"=[1]OUT_TransportEnergyCons!$A$3:$A$1000)*1,("var_fout"=[1]OUT_TransportEnergyCons!$B$3:$B$1000)*1,ISNUMBER(SEARCH("TFHGV",[1]OUT_TransportEnergyCons!$C$3:$C$1000))*1,[1]OUT_TransportEnergyCons!H$3:H$1000)</f>
        <v>2.5104648850503102</v>
      </c>
      <c r="K1626" s="1" cm="1">
        <f t="array" ref="K1626">SUMPRODUCT(("TFHGV-HYBDSL"=[1]OUT_TransportEnergyCons!$A$3:$A$1000)*1,("var_fout"=[1]OUT_TransportEnergyCons!$B$3:$B$1000)*1,ISNUMBER(SEARCH("TFHGV",[1]OUT_TransportEnergyCons!$C$3:$C$1000))*1,[1]OUT_TransportEnergyCons!I$3:I$1000)</f>
        <v>2.7146951889641247</v>
      </c>
    </row>
    <row r="1627" spans="2:11" x14ac:dyDescent="0.35">
      <c r="B1627" t="str">
        <f t="shared" si="973"/>
        <v>SPS4</v>
      </c>
      <c r="C1627" t="str">
        <f t="shared" si="982"/>
        <v>CH</v>
      </c>
      <c r="D1627" t="s">
        <v>1633</v>
      </c>
      <c r="E1627" t="s">
        <v>1518</v>
      </c>
      <c r="F1627" s="1" cm="1">
        <f t="array" ref="F1627">SUMPRODUCT(("TFHGV-ICENGA"=[1]OUT_TransportEnergyCons!$A$3:$A$1000)*1,("var_fout"=[1]OUT_TransportEnergyCons!$B$3:$B$1000)*1,ISNUMBER(SEARCH("TFHGV",[1]OUT_TransportEnergyCons!$C$3:$C$1000))*1,[1]OUT_TransportEnergyCons!D$3:D$1000)</f>
        <v>6.4172508310005958E-3</v>
      </c>
      <c r="G1627" s="1" cm="1">
        <f t="array" ref="G1627">SUMPRODUCT(("TFHGV-ICENGA"=[1]OUT_TransportEnergyCons!$A$3:$A$1000)*1,("var_fout"=[1]OUT_TransportEnergyCons!$B$3:$B$1000)*1,ISNUMBER(SEARCH("TFHGV",[1]OUT_TransportEnergyCons!$C$3:$C$1000))*1,[1]OUT_TransportEnergyCons!E$3:E$1000)</f>
        <v>3.4403838018181535E-4</v>
      </c>
      <c r="H1627" s="1" cm="1">
        <f t="array" ref="H1627">SUMPRODUCT(("TFHGV-ICENGA"=[1]OUT_TransportEnergyCons!$A$3:$A$1000)*1,("var_fout"=[1]OUT_TransportEnergyCons!$B$3:$B$1000)*1,ISNUMBER(SEARCH("TFHGV",[1]OUT_TransportEnergyCons!$C$3:$C$1000))*1,[1]OUT_TransportEnergyCons!F$3:F$1000)</f>
        <v>4.5528179011094274E-4</v>
      </c>
      <c r="I1627" s="1" cm="1">
        <f t="array" ref="I1627">SUMPRODUCT(("TFHGV-ICENGA"=[1]OUT_TransportEnergyCons!$A$3:$A$1000)*1,("var_fout"=[1]OUT_TransportEnergyCons!$B$3:$B$1000)*1,ISNUMBER(SEARCH("TFHGV",[1]OUT_TransportEnergyCons!$C$3:$C$1000))*1,[1]OUT_TransportEnergyCons!G$3:G$1000)</f>
        <v>4.6396835062808845E-4</v>
      </c>
      <c r="J1627" s="1" cm="1">
        <f t="array" ref="J1627">SUMPRODUCT(("TFHGV-ICENGA"=[1]OUT_TransportEnergyCons!$A$3:$A$1000)*1,("var_fout"=[1]OUT_TransportEnergyCons!$B$3:$B$1000)*1,ISNUMBER(SEARCH("TFHGV",[1]OUT_TransportEnergyCons!$C$3:$C$1000))*1,[1]OUT_TransportEnergyCons!H$3:H$1000)</f>
        <v>4.5202461204072001E-4</v>
      </c>
      <c r="K1627" s="1" cm="1">
        <f t="array" ref="K1627">SUMPRODUCT(("TFHGV-ICENGA"=[1]OUT_TransportEnergyCons!$A$3:$A$1000)*1,("var_fout"=[1]OUT_TransportEnergyCons!$B$3:$B$1000)*1,ISNUMBER(SEARCH("TFHGV",[1]OUT_TransportEnergyCons!$C$3:$C$1000))*1,[1]OUT_TransportEnergyCons!I$3:I$1000)</f>
        <v>4.6138327915263151E-4</v>
      </c>
    </row>
    <row r="1628" spans="2:11" x14ac:dyDescent="0.35">
      <c r="B1628" s="2" t="str">
        <f t="shared" si="973"/>
        <v>SPS4</v>
      </c>
      <c r="C1628" s="2" t="str">
        <f t="shared" si="982"/>
        <v>CH</v>
      </c>
      <c r="D1628" s="2" t="s">
        <v>1634</v>
      </c>
      <c r="E1628" s="2" t="s">
        <v>1230</v>
      </c>
      <c r="F1628" s="24" t="s">
        <v>292</v>
      </c>
      <c r="G1628" s="24" t="s">
        <v>292</v>
      </c>
      <c r="H1628" s="24" t="s">
        <v>292</v>
      </c>
      <c r="I1628" s="24" t="s">
        <v>292</v>
      </c>
      <c r="J1628" s="24" t="s">
        <v>292</v>
      </c>
      <c r="K1628" s="24" t="s">
        <v>292</v>
      </c>
    </row>
    <row r="1629" spans="2:11" x14ac:dyDescent="0.35">
      <c r="B1629" t="str">
        <f t="shared" si="973"/>
        <v>SPS4</v>
      </c>
      <c r="C1629" t="str">
        <f t="shared" si="982"/>
        <v>CH</v>
      </c>
      <c r="D1629" t="s">
        <v>1635</v>
      </c>
      <c r="E1629" t="str">
        <f>E1628</f>
        <v>km/MJ</v>
      </c>
      <c r="F1629" s="1" t="str">
        <f>IFERROR(F1619/F1593,"-")</f>
        <v>-</v>
      </c>
      <c r="G1629" s="1" t="str">
        <f t="shared" ref="G1629:K1629" si="1008">IFERROR(G1619/G1593,"-")</f>
        <v>-</v>
      </c>
      <c r="H1629" s="1" t="str">
        <f t="shared" si="1008"/>
        <v>-</v>
      </c>
      <c r="I1629" s="1" t="str">
        <f t="shared" si="1008"/>
        <v>-</v>
      </c>
      <c r="J1629" s="1" t="str">
        <f t="shared" si="1008"/>
        <v>-</v>
      </c>
      <c r="K1629" s="1" t="str">
        <f t="shared" si="1008"/>
        <v>-</v>
      </c>
    </row>
    <row r="1630" spans="2:11" x14ac:dyDescent="0.35">
      <c r="B1630" t="str">
        <f t="shared" si="973"/>
        <v>SPS4</v>
      </c>
      <c r="C1630" t="str">
        <f t="shared" si="982"/>
        <v>CH</v>
      </c>
      <c r="D1630" t="s">
        <v>1636</v>
      </c>
      <c r="E1630" t="str">
        <f t="shared" ref="E1630:E1637" si="1009">E1629</f>
        <v>km/MJ</v>
      </c>
      <c r="F1630" s="1">
        <f>IFERROR(F1620/F1594,"-")</f>
        <v>0.26872776416540906</v>
      </c>
      <c r="G1630" s="1">
        <f t="shared" ref="G1630:K1630" si="1010">IFERROR(G1620/G1594,"-")</f>
        <v>0.27035471729980087</v>
      </c>
      <c r="H1630" s="1">
        <f t="shared" si="1010"/>
        <v>0.27096511043575411</v>
      </c>
      <c r="I1630" s="1">
        <f t="shared" si="1010"/>
        <v>0.27467547500689549</v>
      </c>
      <c r="J1630" s="1">
        <f t="shared" si="1010"/>
        <v>0.31259567476504635</v>
      </c>
      <c r="K1630" s="1">
        <f t="shared" si="1010"/>
        <v>0.33343773260316328</v>
      </c>
    </row>
    <row r="1631" spans="2:11" x14ac:dyDescent="0.35">
      <c r="B1631" t="str">
        <f t="shared" si="973"/>
        <v>SPS4</v>
      </c>
      <c r="C1631" t="str">
        <f t="shared" si="982"/>
        <v>CH</v>
      </c>
      <c r="D1631" t="s">
        <v>1637</v>
      </c>
      <c r="E1631" t="str">
        <f t="shared" si="1009"/>
        <v>km/MJ</v>
      </c>
      <c r="F1631" s="1">
        <f>IFERROR(F1621/F1596,"-")</f>
        <v>0.17445873125089884</v>
      </c>
      <c r="G1631" s="1">
        <f t="shared" ref="G1631:K1631" si="1011">IFERROR(G1621/G1596,"-")</f>
        <v>0.17511312186689515</v>
      </c>
      <c r="H1631" s="1">
        <f t="shared" si="1011"/>
        <v>0.17530554780189447</v>
      </c>
      <c r="I1631" s="1">
        <f t="shared" si="1011"/>
        <v>0.17857501475815463</v>
      </c>
      <c r="J1631" s="1">
        <f t="shared" si="1011"/>
        <v>0.19861077846319436</v>
      </c>
      <c r="K1631" s="1">
        <f t="shared" si="1011"/>
        <v>0.21760679408334058</v>
      </c>
    </row>
    <row r="1632" spans="2:11" x14ac:dyDescent="0.35">
      <c r="B1632" t="str">
        <f t="shared" si="973"/>
        <v>SPS4</v>
      </c>
      <c r="C1632" t="str">
        <f t="shared" si="982"/>
        <v>CH</v>
      </c>
      <c r="D1632" t="s">
        <v>1638</v>
      </c>
      <c r="E1632" t="str">
        <f t="shared" si="1009"/>
        <v>km/MJ</v>
      </c>
      <c r="F1632" s="1" t="str">
        <f>IFERROR(F1622/F1602,"-")</f>
        <v>-</v>
      </c>
      <c r="G1632" s="1" t="str">
        <f t="shared" ref="G1632:K1632" si="1012">IFERROR(G1622/G1602,"-")</f>
        <v>-</v>
      </c>
      <c r="H1632" s="1" t="str">
        <f t="shared" si="1012"/>
        <v>-</v>
      </c>
      <c r="I1632" s="1" t="str">
        <f t="shared" si="1012"/>
        <v>-</v>
      </c>
      <c r="J1632" s="1" t="str">
        <f t="shared" si="1012"/>
        <v>-</v>
      </c>
      <c r="K1632" s="1" t="str">
        <f t="shared" si="1012"/>
        <v>-</v>
      </c>
    </row>
    <row r="1633" spans="2:11" x14ac:dyDescent="0.35">
      <c r="B1633" t="str">
        <f t="shared" si="973"/>
        <v>SPS4</v>
      </c>
      <c r="C1633" t="str">
        <f t="shared" si="982"/>
        <v>CH</v>
      </c>
      <c r="D1633" t="s">
        <v>1639</v>
      </c>
      <c r="E1633" t="str">
        <f t="shared" si="1009"/>
        <v>km/MJ</v>
      </c>
      <c r="F1633" s="1" t="str">
        <f>IFERROR(F1623/F1603,"-")</f>
        <v>-</v>
      </c>
      <c r="G1633" s="1" t="str">
        <f t="shared" ref="G1633:K1633" si="1013">IFERROR(G1623/G1603,"-")</f>
        <v>-</v>
      </c>
      <c r="H1633" s="1" t="str">
        <f t="shared" si="1013"/>
        <v>-</v>
      </c>
      <c r="I1633" s="1" t="str">
        <f t="shared" si="1013"/>
        <v>-</v>
      </c>
      <c r="J1633" s="1" t="str">
        <f t="shared" si="1013"/>
        <v>-</v>
      </c>
      <c r="K1633" s="1" t="str">
        <f t="shared" si="1013"/>
        <v>-</v>
      </c>
    </row>
    <row r="1634" spans="2:11" x14ac:dyDescent="0.35">
      <c r="B1634" t="str">
        <f t="shared" si="973"/>
        <v>SPS4</v>
      </c>
      <c r="C1634" t="str">
        <f t="shared" si="982"/>
        <v>CH</v>
      </c>
      <c r="D1634" t="s">
        <v>1640</v>
      </c>
      <c r="E1634" t="str">
        <f t="shared" si="1009"/>
        <v>km/MJ</v>
      </c>
      <c r="F1634" s="1">
        <f>IFERROR(F1624/F1609,"-")</f>
        <v>8.1953661871669789E-2</v>
      </c>
      <c r="G1634" s="1">
        <f t="shared" ref="G1634:K1634" si="1014">IFERROR(G1624/G1609,"-")</f>
        <v>8.399621061566033E-2</v>
      </c>
      <c r="H1634" s="1">
        <f t="shared" si="1014"/>
        <v>8.706003373164603E-2</v>
      </c>
      <c r="I1634" s="1">
        <f t="shared" si="1014"/>
        <v>8.706003373164603E-2</v>
      </c>
      <c r="J1634" s="1" t="str">
        <f t="shared" si="1014"/>
        <v>-</v>
      </c>
      <c r="K1634" s="1" t="str">
        <f t="shared" si="1014"/>
        <v>-</v>
      </c>
    </row>
    <row r="1635" spans="2:11" x14ac:dyDescent="0.35">
      <c r="B1635" t="str">
        <f t="shared" si="973"/>
        <v>SPS4</v>
      </c>
      <c r="C1635" t="str">
        <f t="shared" si="982"/>
        <v>CH</v>
      </c>
      <c r="D1635" t="s">
        <v>1641</v>
      </c>
      <c r="E1635" t="str">
        <f t="shared" si="1009"/>
        <v>km/MJ</v>
      </c>
      <c r="F1635" s="1">
        <f>IFERROR(F1625/F1610,"-")</f>
        <v>0.11870351496053522</v>
      </c>
      <c r="G1635" s="1">
        <f t="shared" ref="G1635:K1635" si="1015">IFERROR(G1625/G1610,"-")</f>
        <v>0.11870351496053493</v>
      </c>
      <c r="H1635" s="1">
        <f t="shared" si="1015"/>
        <v>0.11870351496053486</v>
      </c>
      <c r="I1635" s="1">
        <f t="shared" si="1015"/>
        <v>0.11870351496053516</v>
      </c>
      <c r="J1635" s="1">
        <f t="shared" si="1015"/>
        <v>0.11870351496053497</v>
      </c>
      <c r="K1635" s="1">
        <f t="shared" si="1015"/>
        <v>0.11870351496053502</v>
      </c>
    </row>
    <row r="1636" spans="2:11" x14ac:dyDescent="0.35">
      <c r="B1636" t="str">
        <f t="shared" si="973"/>
        <v>SPS4</v>
      </c>
      <c r="C1636" t="str">
        <f t="shared" si="982"/>
        <v>CH</v>
      </c>
      <c r="D1636" t="s">
        <v>1642</v>
      </c>
      <c r="E1636" t="str">
        <f t="shared" si="1009"/>
        <v>km/MJ</v>
      </c>
      <c r="F1636" s="1" t="str">
        <f>IFERROR(F1626/F1611,"-")</f>
        <v>-</v>
      </c>
      <c r="G1636" s="1">
        <f t="shared" ref="G1636:K1636" si="1016">IFERROR(G1626/G1611,"-")</f>
        <v>0.16346685209675796</v>
      </c>
      <c r="H1636" s="1">
        <f t="shared" si="1016"/>
        <v>0.16346685209675788</v>
      </c>
      <c r="I1636" s="1">
        <f t="shared" si="1016"/>
        <v>0.1634668520967579</v>
      </c>
      <c r="J1636" s="1">
        <f t="shared" si="1016"/>
        <v>0.16346685209675804</v>
      </c>
      <c r="K1636" s="1">
        <f t="shared" si="1016"/>
        <v>0.16346685209675807</v>
      </c>
    </row>
    <row r="1637" spans="2:11" x14ac:dyDescent="0.35">
      <c r="B1637" t="str">
        <f t="shared" si="973"/>
        <v>SPS4</v>
      </c>
      <c r="C1637" t="str">
        <f t="shared" si="982"/>
        <v>CH</v>
      </c>
      <c r="D1637" t="s">
        <v>1643</v>
      </c>
      <c r="E1637" t="str">
        <f t="shared" si="1009"/>
        <v>km/MJ</v>
      </c>
      <c r="F1637" s="1">
        <f>IFERROR(F1627/F1617,"-")</f>
        <v>0.10322365358775995</v>
      </c>
      <c r="G1637" s="1">
        <f t="shared" ref="G1637:K1637" si="1017">IFERROR(G1627/G1617,"-")</f>
        <v>0.10368382975603896</v>
      </c>
      <c r="H1637" s="1">
        <f t="shared" si="1017"/>
        <v>0.1040468353466785</v>
      </c>
      <c r="I1637" s="1">
        <f t="shared" si="1017"/>
        <v>0.10975938397585487</v>
      </c>
      <c r="J1637" s="1">
        <f t="shared" si="1017"/>
        <v>0.11837784612346666</v>
      </c>
      <c r="K1637" s="1">
        <f t="shared" si="1017"/>
        <v>0.12872974388551081</v>
      </c>
    </row>
    <row r="1638" spans="2:11" x14ac:dyDescent="0.35">
      <c r="B1638" s="2" t="str">
        <f t="shared" si="973"/>
        <v>SPS4</v>
      </c>
      <c r="C1638" s="2" t="str">
        <f>C1637</f>
        <v>CH</v>
      </c>
      <c r="D1638" s="2" t="s">
        <v>1652</v>
      </c>
      <c r="E1638" s="2" t="s">
        <v>8</v>
      </c>
      <c r="F1638" s="1">
        <f>F1639+F1643+F1647+F1653</f>
        <v>28.74332338410931</v>
      </c>
      <c r="G1638" s="1">
        <f t="shared" ref="G1638:K1638" si="1018">G1639+G1643+G1647+G1653</f>
        <v>27.95133462342595</v>
      </c>
      <c r="H1638" s="1">
        <f t="shared" si="1018"/>
        <v>27.181713478918613</v>
      </c>
      <c r="I1638" s="1">
        <f t="shared" si="1018"/>
        <v>26.949972104484505</v>
      </c>
      <c r="J1638" s="1">
        <f t="shared" si="1018"/>
        <v>28.081365774811115</v>
      </c>
      <c r="K1638" s="1">
        <f t="shared" si="1018"/>
        <v>28.976586637362324</v>
      </c>
    </row>
    <row r="1639" spans="2:11" x14ac:dyDescent="0.35">
      <c r="B1639" t="str">
        <f t="shared" si="973"/>
        <v>SPS4</v>
      </c>
      <c r="C1639" t="str">
        <f t="shared" ref="C1639:C1682" si="1019">C1638</f>
        <v>CH</v>
      </c>
      <c r="D1639" t="s">
        <v>1653</v>
      </c>
      <c r="E1639" t="s">
        <v>8</v>
      </c>
      <c r="F1639" s="1">
        <f>SUM(F1640:F1642)</f>
        <v>9.2070293992016481</v>
      </c>
      <c r="G1639" s="1">
        <f t="shared" ref="G1639:K1639" si="1020">SUM(G1640:G1642)</f>
        <v>9.4962068776044113</v>
      </c>
      <c r="H1639" s="1">
        <f t="shared" si="1020"/>
        <v>9.9541563757824463</v>
      </c>
      <c r="I1639" s="1">
        <f t="shared" si="1020"/>
        <v>10.606085179570112</v>
      </c>
      <c r="J1639" s="1">
        <f t="shared" si="1020"/>
        <v>11.737234421370372</v>
      </c>
      <c r="K1639" s="1">
        <f t="shared" si="1020"/>
        <v>12.632732796992222</v>
      </c>
    </row>
    <row r="1640" spans="2:11" x14ac:dyDescent="0.35">
      <c r="B1640" t="str">
        <f t="shared" si="973"/>
        <v>SPS4</v>
      </c>
      <c r="C1640" t="str">
        <f t="shared" si="1019"/>
        <v>CH</v>
      </c>
      <c r="D1640" t="s">
        <v>1654</v>
      </c>
      <c r="E1640" t="str">
        <f t="shared" ref="E1640:E1642" si="1021">E1639</f>
        <v>PJ/yr.</v>
      </c>
      <c r="F1640" s="1" cm="1">
        <f t="array" ref="F1640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0" s="1" cm="1">
        <f t="array" ref="G1640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0" s="1" cm="1">
        <f t="array" ref="H1640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0" s="1" cm="1">
        <f t="array" ref="I1640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0" s="1" cm="1">
        <f t="array" ref="J1640">SUMPRODUCT(("TPRLPELCEXT"=[1]OUT_TransportEnergyCons!$A$3:$A$1000)*1,("Var_Fin"=[1]OUT_TransportEnergyCons!$B$3:$B$1000)*1,ISNUMBER(SEARCH("ELC",[1]OUT_TransportEnergyCons!$C$3:$C$1000))*1,[1]OUT_TransportEnergyCons!H$3:H$1000)</f>
        <v>9.7091692936423453</v>
      </c>
      <c r="K1640" s="1" cm="1">
        <f t="array" ref="K1640">SUMPRODUCT(("TPRLPELCEXT"=[1]OUT_TransportEnergyCons!$A$3:$A$1000)*1,("Var_Fin"=[1]OUT_TransportEnergyCons!$B$3:$B$1000)*1,ISNUMBER(SEARCH("ELC",[1]OUT_TransportEnergyCons!$C$3:$C$1000))*1,[1]OUT_TransportEnergyCons!I$3:I$1000)</f>
        <v>10.452356471027851</v>
      </c>
    </row>
    <row r="1641" spans="2:11" x14ac:dyDescent="0.35">
      <c r="B1641" t="str">
        <f t="shared" si="973"/>
        <v>SPS4</v>
      </c>
      <c r="C1641" t="str">
        <f t="shared" si="1019"/>
        <v>CH</v>
      </c>
      <c r="D1641" t="s">
        <v>1655</v>
      </c>
      <c r="E1641" t="str">
        <f t="shared" si="1021"/>
        <v>PJ/yr.</v>
      </c>
      <c r="F1641" s="1" cm="1">
        <f t="array" ref="F1641">SUMPRODUCT(("TFRLFELCEXT"=[1]OUT_TransportEnergyCons!$A$3:$A$1000)*1,("Var_Fin"=[1]OUT_TransportEnergyCons!$B$3:$B$1000)*1,ISNUMBER(SEARCH("ELC",[1]OUT_TransportEnergyCons!$C$3:$C$1000))*1,[1]OUT_TransportEnergyCons!D$3:D$1000)</f>
        <v>1.5023093861007011</v>
      </c>
      <c r="G1641" s="1" cm="1">
        <f t="array" ref="G1641">SUMPRODUCT(("TFRLFELCEXT"=[1]OUT_TransportEnergyCons!$A$3:$A$1000)*1,("Var_Fin"=[1]OUT_TransportEnergyCons!$B$3:$B$1000)*1,ISNUMBER(SEARCH("ELC",[1]OUT_TransportEnergyCons!$C$3:$C$1000))*1,[1]OUT_TransportEnergyCons!E$3:E$1000)</f>
        <v>1.5902886965805174</v>
      </c>
      <c r="H1641" s="1" cm="1">
        <f t="array" ref="H1641">SUMPRODUCT(("TFRLFELCEXT"=[1]OUT_TransportEnergyCons!$A$3:$A$1000)*1,("Var_Fin"=[1]OUT_TransportEnergyCons!$B$3:$B$1000)*1,ISNUMBER(SEARCH("ELC",[1]OUT_TransportEnergyCons!$C$3:$C$1000))*1,[1]OUT_TransportEnergyCons!F$3:F$1000)</f>
        <v>1.7462375590521875</v>
      </c>
      <c r="I1641" s="1" cm="1">
        <f t="array" ref="I1641">SUMPRODUCT(("TFRLFELCEXT"=[1]OUT_TransportEnergyCons!$A$3:$A$1000)*1,("Var_Fin"=[1]OUT_TransportEnergyCons!$B$3:$B$1000)*1,ISNUMBER(SEARCH("ELC",[1]OUT_TransportEnergyCons!$C$3:$C$1000))*1,[1]OUT_TransportEnergyCons!G$3:G$1000)</f>
        <v>1.8942639115454856</v>
      </c>
      <c r="J1641" s="1" cm="1">
        <f t="array" ref="J1641">SUMPRODUCT(("TFRLFELCEXT"=[1]OUT_TransportEnergyCons!$A$3:$A$1000)*1,("Var_Fin"=[1]OUT_TransportEnergyCons!$B$3:$B$1000)*1,ISNUMBER(SEARCH("ELC",[1]OUT_TransportEnergyCons!$C$3:$C$1000))*1,[1]OUT_TransportEnergyCons!H$3:H$1000)</f>
        <v>2.0280591425403931</v>
      </c>
      <c r="K1641" s="1" cm="1">
        <f t="array" ref="K1641">SUMPRODUCT(("TFRLFELCEXT"=[1]OUT_TransportEnergyCons!$A$3:$A$1000)*1,("Var_Fin"=[1]OUT_TransportEnergyCons!$B$3:$B$1000)*1,ISNUMBER(SEARCH("ELC",[1]OUT_TransportEnergyCons!$C$3:$C$1000))*1,[1]OUT_TransportEnergyCons!I$3:I$1000)</f>
        <v>2.1803643065111276</v>
      </c>
    </row>
    <row r="1642" spans="2:11" x14ac:dyDescent="0.35">
      <c r="B1642" t="str">
        <f t="shared" si="973"/>
        <v>SPS4</v>
      </c>
      <c r="C1642" t="str">
        <f t="shared" si="1019"/>
        <v>CH</v>
      </c>
      <c r="D1642" t="s">
        <v>1656</v>
      </c>
      <c r="E1642" t="str">
        <f t="shared" si="1021"/>
        <v>PJ/yr.</v>
      </c>
      <c r="F1642" s="1" cm="1">
        <f t="array" ref="F1642">SUMPRODUCT(("TPSHPELCEXT"=[1]OUT_TransportEnergyCons!$A$3:$A$1000)*1,("Var_Fin"=[1]OUT_TransportEnergyCons!$B$3:$B$1000)*1,ISNUMBER(SEARCH("ELC",[1]OUT_TransportEnergyCons!$C$3:$C$1000))*1,[1]OUT_TransportEnergyCons!D$3:D$1000)</f>
        <v>0</v>
      </c>
      <c r="G1642" s="1" cm="1">
        <f t="array" ref="G1642">SUMPRODUCT(("TPSHPELCEXT"=[1]OUT_TransportEnergyCons!$A$3:$A$1000)*1,("Var_Fin"=[1]OUT_TransportEnergyCons!$B$3:$B$1000)*1,ISNUMBER(SEARCH("ELC",[1]OUT_TransportEnergyCons!$C$3:$C$1000))*1,[1]OUT_TransportEnergyCons!E$3:E$1000)</f>
        <v>1.2744172970747055E-5</v>
      </c>
      <c r="H1642" s="1" cm="1">
        <f t="array" ref="H1642">SUMPRODUCT(("TPSHPELCEXT"=[1]OUT_TransportEnergyCons!$A$3:$A$1000)*1,("Var_Fin"=[1]OUT_TransportEnergyCons!$B$3:$B$1000)*1,ISNUMBER(SEARCH("ELC",[1]OUT_TransportEnergyCons!$C$3:$C$1000))*1,[1]OUT_TransportEnergyCons!F$3:F$1000)</f>
        <v>1.7364425904569884E-5</v>
      </c>
      <c r="I1642" s="1" cm="1">
        <f t="array" ref="I1642">SUMPRODUCT(("TPSHPELCEXT"=[1]OUT_TransportEnergyCons!$A$3:$A$1000)*1,("Var_Fin"=[1]OUT_TransportEnergyCons!$B$3:$B$1000)*1,ISNUMBER(SEARCH("ELC",[1]OUT_TransportEnergyCons!$C$3:$C$1000))*1,[1]OUT_TransportEnergyCons!G$3:G$1000)</f>
        <v>1.1270848546770491E-5</v>
      </c>
      <c r="J1642" s="1" cm="1">
        <f t="array" ref="J1642">SUMPRODUCT(("TPSHPELCEXT"=[1]OUT_TransportEnergyCons!$A$3:$A$1000)*1,("Var_Fin"=[1]OUT_TransportEnergyCons!$B$3:$B$1000)*1,ISNUMBER(SEARCH("ELC",[1]OUT_TransportEnergyCons!$C$3:$C$1000))*1,[1]OUT_TransportEnergyCons!H$3:H$1000)</f>
        <v>5.9851876337178725E-6</v>
      </c>
      <c r="K1642" s="1" cm="1">
        <f t="array" ref="K1642">SUMPRODUCT(("TPSHPELCEXT"=[1]OUT_TransportEnergyCons!$A$3:$A$1000)*1,("Var_Fin"=[1]OUT_TransportEnergyCons!$B$3:$B$1000)*1,ISNUMBER(SEARCH("ELC",[1]OUT_TransportEnergyCons!$C$3:$C$1000))*1,[1]OUT_TransportEnergyCons!I$3:I$1000)</f>
        <v>1.2019453244068351E-5</v>
      </c>
    </row>
    <row r="1643" spans="2:11" x14ac:dyDescent="0.35">
      <c r="B1643" t="str">
        <f t="shared" si="973"/>
        <v>SPS4</v>
      </c>
      <c r="C1643" t="str">
        <f t="shared" si="1019"/>
        <v>CH</v>
      </c>
      <c r="D1643" t="s">
        <v>1657</v>
      </c>
      <c r="E1643" t="s">
        <v>8</v>
      </c>
      <c r="F1643" s="1">
        <f>SUM(F1644:F1646)</f>
        <v>0</v>
      </c>
      <c r="G1643" s="1">
        <f t="shared" ref="G1643:K1643" si="1022">SUM(G1644:G1646)</f>
        <v>0</v>
      </c>
      <c r="H1643" s="1">
        <f t="shared" si="1022"/>
        <v>0</v>
      </c>
      <c r="I1643" s="1">
        <f t="shared" si="1022"/>
        <v>0</v>
      </c>
      <c r="J1643" s="1">
        <f t="shared" si="1022"/>
        <v>2.3680123433932428E-4</v>
      </c>
      <c r="K1643" s="1">
        <f t="shared" si="1022"/>
        <v>3.6004381854228999E-4</v>
      </c>
    </row>
    <row r="1644" spans="2:11" x14ac:dyDescent="0.35">
      <c r="B1644" t="str">
        <f t="shared" si="973"/>
        <v>SPS4</v>
      </c>
      <c r="C1644" t="str">
        <f t="shared" si="1019"/>
        <v>CH</v>
      </c>
      <c r="D1644" t="s">
        <v>1658</v>
      </c>
      <c r="E1644" t="str">
        <f t="shared" ref="E1644:E1646" si="1023">E1643</f>
        <v>PJ/yr.</v>
      </c>
      <c r="F1644" s="1" cm="1">
        <f t="array" ref="F1644">SUMPRODUCT(("TPRLPH2OFCL"=[1]OUT_TransportEnergyCons!$A$3:$A$1000)*1,("Var_Fin"=[1]OUT_TransportEnergyCons!$B$3:$B$1000)*1,ISNUMBER(SEARCH("h2",[1]OUT_TransportEnergyCons!$C$3:$C$1000))*1,[1]OUT_TransportEnergyCons!D$3:D$1000)</f>
        <v>0</v>
      </c>
      <c r="G1644" s="1" cm="1">
        <f t="array" ref="G1644">SUMPRODUCT(("TPRLPH2OFCL"=[1]OUT_TransportEnergyCons!$A$3:$A$1000)*1,("Var_Fin"=[1]OUT_TransportEnergyCons!$B$3:$B$1000)*1,ISNUMBER(SEARCH("h2",[1]OUT_TransportEnergyCons!$C$3:$C$1000))*1,[1]OUT_TransportEnergyCons!E$3:E$1000)</f>
        <v>0</v>
      </c>
      <c r="H1644" s="1" cm="1">
        <f t="array" ref="H1644">SUMPRODUCT(("TPRLPH2OFCL"=[1]OUT_TransportEnergyCons!$A$3:$A$1000)*1,("Var_Fin"=[1]OUT_TransportEnergyCons!$B$3:$B$1000)*1,ISNUMBER(SEARCH("h2",[1]OUT_TransportEnergyCons!$C$3:$C$1000))*1,[1]OUT_TransportEnergyCons!F$3:F$1000)</f>
        <v>0</v>
      </c>
      <c r="I1644" s="1" cm="1">
        <f t="array" ref="I1644">SUMPRODUCT(("TPRLPH2OFCL"=[1]OUT_TransportEnergyCons!$A$3:$A$1000)*1,("Var_Fin"=[1]OUT_TransportEnergyCons!$B$3:$B$1000)*1,ISNUMBER(SEARCH("h2",[1]OUT_TransportEnergyCons!$C$3:$C$1000))*1,[1]OUT_TransportEnergyCons!G$3:G$1000)</f>
        <v>0</v>
      </c>
      <c r="J1644" s="1" cm="1">
        <f t="array" ref="J1644">SUMPRODUCT(("TPRLPH2OFCL"=[1]OUT_TransportEnergyCons!$A$3:$A$1000)*1,("Var_Fin"=[1]OUT_TransportEnergyCons!$B$3:$B$1000)*1,ISNUMBER(SEARCH("h2",[1]OUT_TransportEnergyCons!$C$3:$C$1000))*1,[1]OUT_TransportEnergyCons!H$3:H$1000)</f>
        <v>1.7897978205821938E-4</v>
      </c>
      <c r="K1644" s="1" cm="1">
        <f t="array" ref="K1644">SUMPRODUCT(("TPRLPH2OFCL"=[1]OUT_TransportEnergyCons!$A$3:$A$1000)*1,("Var_Fin"=[1]OUT_TransportEnergyCons!$B$3:$B$1000)*1,ISNUMBER(SEARCH("h2",[1]OUT_TransportEnergyCons!$C$3:$C$1000))*1,[1]OUT_TransportEnergyCons!I$3:I$1000)</f>
        <v>2.8544374680141164E-4</v>
      </c>
    </row>
    <row r="1645" spans="2:11" x14ac:dyDescent="0.35">
      <c r="B1645" t="str">
        <f t="shared" si="973"/>
        <v>SPS4</v>
      </c>
      <c r="C1645" t="str">
        <f t="shared" si="1019"/>
        <v>CH</v>
      </c>
      <c r="D1645" t="s">
        <v>1659</v>
      </c>
      <c r="E1645" t="str">
        <f t="shared" si="1023"/>
        <v>PJ/yr.</v>
      </c>
      <c r="F1645" s="1" cm="1">
        <f t="array" ref="F1645">SUMPRODUCT(("TFRLFH2OFCL"=[1]OUT_TransportEnergyCons!$A$3:$A$1000)*1,("Var_Fin"=[1]OUT_TransportEnergyCons!$B$3:$B$1000)*1,ISNUMBER(SEARCH("h2",[1]OUT_TransportEnergyCons!$C$3:$C$1000))*1,[1]OUT_TransportEnergyCons!D$3:D$1000)</f>
        <v>0</v>
      </c>
      <c r="G1645" s="1" cm="1">
        <f t="array" ref="G1645">SUMPRODUCT(("TFRLFH2OFCL"=[1]OUT_TransportEnergyCons!$A$3:$A$1000)*1,("Var_Fin"=[1]OUT_TransportEnergyCons!$B$3:$B$1000)*1,ISNUMBER(SEARCH("h2",[1]OUT_TransportEnergyCons!$C$3:$C$1000))*1,[1]OUT_TransportEnergyCons!E$3:E$1000)</f>
        <v>0</v>
      </c>
      <c r="H1645" s="1" cm="1">
        <f t="array" ref="H1645">SUMPRODUCT(("TFRLFH2OFCL"=[1]OUT_TransportEnergyCons!$A$3:$A$1000)*1,("Var_Fin"=[1]OUT_TransportEnergyCons!$B$3:$B$1000)*1,ISNUMBER(SEARCH("h2",[1]OUT_TransportEnergyCons!$C$3:$C$1000))*1,[1]OUT_TransportEnergyCons!F$3:F$1000)</f>
        <v>0</v>
      </c>
      <c r="I1645" s="1" cm="1">
        <f t="array" ref="I1645">SUMPRODUCT(("TFRLFH2OFCL"=[1]OUT_TransportEnergyCons!$A$3:$A$1000)*1,("Var_Fin"=[1]OUT_TransportEnergyCons!$B$3:$B$1000)*1,ISNUMBER(SEARCH("h2",[1]OUT_TransportEnergyCons!$C$3:$C$1000))*1,[1]OUT_TransportEnergyCons!G$3:G$1000)</f>
        <v>0</v>
      </c>
      <c r="J1645" s="1" cm="1">
        <f t="array" ref="J1645">SUMPRODUCT(("TFRLFH2OFCL"=[1]OUT_TransportEnergyCons!$A$3:$A$1000)*1,("Var_Fin"=[1]OUT_TransportEnergyCons!$B$3:$B$1000)*1,ISNUMBER(SEARCH("h2",[1]OUT_TransportEnergyCons!$C$3:$C$1000))*1,[1]OUT_TransportEnergyCons!H$3:H$1000)</f>
        <v>4.8465882167806927E-5</v>
      </c>
      <c r="K1645" s="1" cm="1">
        <f t="array" ref="K1645">SUMPRODUCT(("TFRLFH2OFCL"=[1]OUT_TransportEnergyCons!$A$3:$A$1000)*1,("Var_Fin"=[1]OUT_TransportEnergyCons!$B$3:$B$1000)*1,ISNUMBER(SEARCH("h2",[1]OUT_TransportEnergyCons!$C$3:$C$1000))*1,[1]OUT_TransportEnergyCons!I$3:I$1000)</f>
        <v>6.1358301991028001E-5</v>
      </c>
    </row>
    <row r="1646" spans="2:11" x14ac:dyDescent="0.35">
      <c r="B1646" t="str">
        <f t="shared" si="973"/>
        <v>SPS4</v>
      </c>
      <c r="C1646" t="str">
        <f t="shared" si="1019"/>
        <v>CH</v>
      </c>
      <c r="D1646" t="s">
        <v>1660</v>
      </c>
      <c r="E1646" t="str">
        <f t="shared" si="1023"/>
        <v>PJ/yr.</v>
      </c>
      <c r="F1646" s="1" cm="1">
        <f t="array" ref="F1646">SUMPRODUCT(("TPSHPH2OEXT"=[1]OUT_TransportEnergyCons!$A$3:$A$1000)*1,("Var_Fin"=[1]OUT_TransportEnergyCons!$B$3:$B$1000)*1,ISNUMBER(SEARCH("h2",[1]OUT_TransportEnergyCons!$C$3:$C$1000))*1,[1]OUT_TransportEnergyCons!D$3:D$1000)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SUMPRODUCT(("TPSHPH2OEXT"=[1]OUT_TransportEnergyCons!$A$3:$A$1000)*1,("Var_Fin"=[1]OUT_TransportEnergyCons!$B$3:$B$1000)*1,ISNUMBER(SEARCH("h2",[1]OUT_TransportEnergyCons!$C$3:$C$1000))*1,[1]OUT_TransportEnergyCons!E$3:E$1000)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SUMPRODUCT(("TPSHPH2OEXT"=[1]OUT_TransportEnergyCons!$A$3:$A$1000)*1,("Var_Fin"=[1]OUT_TransportEnergyCons!$B$3:$B$1000)*1,ISNUMBER(SEARCH("h2",[1]OUT_TransportEnergyCons!$C$3:$C$1000))*1,[1]OUT_TransportEnergyCons!F$3:F$1000)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SUMPRODUCT(("TPSHPH2OEXT"=[1]OUT_TransportEnergyCons!$A$3:$A$1000)*1,("Var_Fin"=[1]OUT_TransportEnergyCons!$B$3:$B$1000)*1,ISNUMBER(SEARCH("h2",[1]OUT_TransportEnergyCons!$C$3:$C$1000))*1,[1]OUT_TransportEnergyCons!G$3:G$1000)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SUMPRODUCT(("TPSHPH2OEXT"=[1]OUT_TransportEnergyCons!$A$3:$A$1000)*1,("Var_Fin"=[1]OUT_TransportEnergyCons!$B$3:$B$1000)*1,ISNUMBER(SEARCH("h2",[1]OUT_TransportEnergyCons!$C$3:$C$1000))*1,[1]OUT_TransportEnergyCons!H$3:H$1000)</f>
        <v>9.3555701132979787E-6</v>
      </c>
      <c r="K1646" s="1" cm="1">
        <f t="array" ref="K1646">SUMPRODUCT(("TPSHPH2OEXT"=[1]OUT_TransportEnergyCons!$A$3:$A$1000)*1,("Var_Fin"=[1]OUT_TransportEnergyCons!$B$3:$B$1000)*1,ISNUMBER(SEARCH("h2",[1]OUT_TransportEnergyCons!$C$3:$C$1000))*1,[1]OUT_TransportEnergyCons!I$3:I$1000)</f>
        <v>1.3241769749850334E-5</v>
      </c>
    </row>
    <row r="1647" spans="2:11" x14ac:dyDescent="0.35">
      <c r="B1647" t="str">
        <f t="shared" si="973"/>
        <v>SPS4</v>
      </c>
      <c r="C1647" t="str">
        <f t="shared" si="1019"/>
        <v>CH</v>
      </c>
      <c r="D1647" t="s">
        <v>1661</v>
      </c>
      <c r="E1647" t="str">
        <f>E1646</f>
        <v>PJ/yr.</v>
      </c>
      <c r="F1647" s="1">
        <f>F1652</f>
        <v>1.759807763728358</v>
      </c>
      <c r="G1647" s="1">
        <f t="shared" ref="G1647:K1647" si="1024">G1652</f>
        <v>0.7971739554972237</v>
      </c>
      <c r="H1647" s="1">
        <f t="shared" si="1024"/>
        <v>2.8051218590328361E-4</v>
      </c>
      <c r="I1647" s="1">
        <f t="shared" si="1024"/>
        <v>2.1104034213642218E-4</v>
      </c>
      <c r="J1647" s="1">
        <f t="shared" si="1024"/>
        <v>8.7730337181375907E-5</v>
      </c>
      <c r="K1647" s="1">
        <f t="shared" si="1024"/>
        <v>0</v>
      </c>
    </row>
    <row r="1648" spans="2:11" x14ac:dyDescent="0.35">
      <c r="B1648" t="str">
        <f t="shared" si="973"/>
        <v>SPS4</v>
      </c>
      <c r="C1648" t="str">
        <f t="shared" si="1019"/>
        <v>CH</v>
      </c>
      <c r="D1648" t="s">
        <v>1662</v>
      </c>
      <c r="E1648" t="str">
        <f t="shared" ref="E1648:E1660" si="1025">E1647</f>
        <v>PJ/yr.</v>
      </c>
      <c r="F1648" s="1">
        <f>F1647-F1649</f>
        <v>1.6634742489168879</v>
      </c>
      <c r="G1648" s="1">
        <f t="shared" ref="G1648:K1648" si="1026">G1647-G1649</f>
        <v>0.75353279271256013</v>
      </c>
      <c r="H1648" s="1">
        <f t="shared" si="1026"/>
        <v>2.6515665022077691E-4</v>
      </c>
      <c r="I1648" s="1">
        <f t="shared" si="1026"/>
        <v>1.9948145480496636E-4</v>
      </c>
      <c r="J1648" s="1">
        <f t="shared" si="1026"/>
        <v>8.2926753948514838E-5</v>
      </c>
      <c r="K1648" s="1">
        <f t="shared" si="1026"/>
        <v>0</v>
      </c>
    </row>
    <row r="1649" spans="2:11" x14ac:dyDescent="0.35">
      <c r="B1649" t="str">
        <f t="shared" si="973"/>
        <v>SPS4</v>
      </c>
      <c r="C1649" t="str">
        <f t="shared" si="1019"/>
        <v>CH</v>
      </c>
      <c r="D1649" t="s">
        <v>1663</v>
      </c>
      <c r="E1649" t="str">
        <f t="shared" si="1025"/>
        <v>PJ/yr.</v>
      </c>
      <c r="F1649" s="1">
        <f>SUM(F1650:F1651)</f>
        <v>9.6333514811470136E-2</v>
      </c>
      <c r="G1649" s="1">
        <f t="shared" ref="G1649:K1649" si="1027">SUM(G1650:G1651)</f>
        <v>4.364116278466354E-2</v>
      </c>
      <c r="H1649" s="1">
        <f t="shared" si="1027"/>
        <v>1.5355535682506719E-5</v>
      </c>
      <c r="I1649" s="1">
        <f t="shared" si="1027"/>
        <v>1.155888733145581E-5</v>
      </c>
      <c r="J1649" s="1">
        <f t="shared" si="1027"/>
        <v>4.8035832328610736E-6</v>
      </c>
      <c r="K1649" s="1">
        <f t="shared" si="1027"/>
        <v>0</v>
      </c>
    </row>
    <row r="1650" spans="2:11" x14ac:dyDescent="0.35">
      <c r="B1650" t="str">
        <f t="shared" si="973"/>
        <v>SPS4</v>
      </c>
      <c r="C1650" t="str">
        <f t="shared" si="1019"/>
        <v>CH</v>
      </c>
      <c r="D1650" t="s">
        <v>1664</v>
      </c>
      <c r="E1650" t="str">
        <f t="shared" si="1025"/>
        <v>PJ/yr.</v>
      </c>
      <c r="F1650" s="1">
        <f>[1]Transport!B$25/SUM([1]Transport!B$21,[1]Transport!B$25)*F1647*(F$34+F$598)/(F$34+F$598+F$37)</f>
        <v>9.6333514811470136E-2</v>
      </c>
      <c r="G1650" s="1">
        <f>[1]Transport!C$25/SUM([1]Transport!C$21,[1]Transport!C$25)*G1647*(G$34+G$598)/(G$34+G$598+G$37)</f>
        <v>4.364116278466354E-2</v>
      </c>
      <c r="H1650" s="1">
        <f>[1]Transport!D$25/SUM([1]Transport!D$21,[1]Transport!D$25)*H1647*(H$34+H$598)/(H$34+H$598+H$37)</f>
        <v>1.5355535682506719E-5</v>
      </c>
      <c r="I1650" s="1">
        <f>[1]Transport!E$25/SUM([1]Transport!E$21,[1]Transport!E$25)*I1647*(I$34+I$598)/(I$34+I$598+I$37)</f>
        <v>1.155888733145581E-5</v>
      </c>
      <c r="J1650" s="1">
        <f>[1]Transport!F$25/SUM([1]Transport!F$21,[1]Transport!F$25)*J1647*(J$34+J$598)/(J$34+J$598+J$37)</f>
        <v>4.8035832328610736E-6</v>
      </c>
      <c r="K1650" s="1">
        <f>[1]Transport!G$25/SUM([1]Transport!G$21,[1]Transport!G$25)*K1647*(K$34+K$598)/(K$34+K$598+K$37)</f>
        <v>0</v>
      </c>
    </row>
    <row r="1651" spans="2:11" x14ac:dyDescent="0.35">
      <c r="B1651" t="str">
        <f t="shared" si="973"/>
        <v>SPS4</v>
      </c>
      <c r="C1651" t="str">
        <f t="shared" si="1019"/>
        <v>CH</v>
      </c>
      <c r="D1651" t="s">
        <v>1665</v>
      </c>
      <c r="E1651" t="str">
        <f t="shared" si="1025"/>
        <v>PJ/yr.</v>
      </c>
      <c r="F1651" s="1">
        <f>(F$37+F$717)/([1]Transport!B$21+[1]Transport!B$25)*F1647</f>
        <v>0</v>
      </c>
      <c r="G1651" s="1">
        <f>(G$37+G$717)/([1]Transport!C$21+[1]Transport!C$25)*G1647</f>
        <v>0</v>
      </c>
      <c r="H1651" s="1">
        <f>(H$37+H$717)/([1]Transport!D$21+[1]Transport!D$25)*H1647</f>
        <v>0</v>
      </c>
      <c r="I1651" s="1">
        <f>(I$37+I$717)/([1]Transport!E$21+[1]Transport!E$25)*I1647</f>
        <v>0</v>
      </c>
      <c r="J1651" s="1">
        <f>(J$37+J$717)/([1]Transport!F$21+[1]Transport!F$25)*J1647</f>
        <v>0</v>
      </c>
      <c r="K1651" s="1">
        <f>(K$37+K$717)/([1]Transport!G$21+[1]Transport!G$25)*K1647</f>
        <v>0</v>
      </c>
    </row>
    <row r="1652" spans="2:11" x14ac:dyDescent="0.35">
      <c r="B1652" t="str">
        <f t="shared" ref="B1652:B1715" si="1028">B1651</f>
        <v>SPS4</v>
      </c>
      <c r="C1652" t="str">
        <f t="shared" si="1019"/>
        <v>CH</v>
      </c>
      <c r="D1652" t="s">
        <v>1666</v>
      </c>
      <c r="E1652" t="str">
        <f t="shared" si="1025"/>
        <v>PJ/yr.</v>
      </c>
      <c r="F1652" s="1" cm="1">
        <f t="array" ref="F1652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2" s="1" cm="1">
        <f t="array" ref="G1652">SUMPRODUCT(("TPSHPGSLEXT"=[1]OUT_TransportEnergyCons!$A$3:$A$1000)*1,("Var_Fin"=[1]OUT_TransportEnergyCons!$B$3:$B$1000)*1,ISNUMBER(SEARCH("GSL",[1]OUT_TransportEnergyCons!$C$3:$C$1000))*1,[1]OUT_TransportEnergyCons!E$3:E$1000)</f>
        <v>0.7971739554972237</v>
      </c>
      <c r="H1652" s="1" cm="1">
        <f t="array" ref="H1652">SUMPRODUCT(("TPSHPGSLEXT"=[1]OUT_TransportEnergyCons!$A$3:$A$1000)*1,("Var_Fin"=[1]OUT_TransportEnergyCons!$B$3:$B$1000)*1,ISNUMBER(SEARCH("GSL",[1]OUT_TransportEnergyCons!$C$3:$C$1000))*1,[1]OUT_TransportEnergyCons!F$3:F$1000)</f>
        <v>2.8051218590328361E-4</v>
      </c>
      <c r="I1652" s="1" cm="1">
        <f t="array" ref="I1652">SUMPRODUCT(("TPSHPGSLEXT"=[1]OUT_TransportEnergyCons!$A$3:$A$1000)*1,("Var_Fin"=[1]OUT_TransportEnergyCons!$B$3:$B$1000)*1,ISNUMBER(SEARCH("GSL",[1]OUT_TransportEnergyCons!$C$3:$C$1000))*1,[1]OUT_TransportEnergyCons!G$3:G$1000)</f>
        <v>2.1104034213642218E-4</v>
      </c>
      <c r="J1652" s="1" cm="1">
        <f t="array" ref="J1652">SUMPRODUCT(("TPSHPGSLEXT"=[1]OUT_TransportEnergyCons!$A$3:$A$1000)*1,("Var_Fin"=[1]OUT_TransportEnergyCons!$B$3:$B$1000)*1,ISNUMBER(SEARCH("GSL",[1]OUT_TransportEnergyCons!$C$3:$C$1000))*1,[1]OUT_TransportEnergyCons!H$3:H$1000)</f>
        <v>8.7730337181375907E-5</v>
      </c>
      <c r="K1652" s="1" cm="1">
        <f t="array" ref="K1652">SUMPRODUCT(("TPSHPGSLEXT"=[1]OUT_TransportEnergyCons!$A$3:$A$1000)*1,("Var_Fin"=[1]OUT_TransportEnergyCons!$B$3:$B$1000)*1,ISNUMBER(SEARCH("GSL",[1]OUT_TransportEnergyCons!$C$3:$C$1000))*1,[1]OUT_TransportEnergyCons!I$3:I$1000)</f>
        <v>0</v>
      </c>
    </row>
    <row r="1653" spans="2:11" x14ac:dyDescent="0.35">
      <c r="B1653" t="str">
        <f t="shared" si="1028"/>
        <v>SPS4</v>
      </c>
      <c r="C1653" t="str">
        <f t="shared" si="1019"/>
        <v>CH</v>
      </c>
      <c r="D1653" t="s">
        <v>1667</v>
      </c>
      <c r="E1653" t="str">
        <f t="shared" si="1025"/>
        <v>PJ/yr.</v>
      </c>
      <c r="F1653" s="1">
        <f>SUM(F1658:F1660)</f>
        <v>17.776486221179304</v>
      </c>
      <c r="G1653" s="1">
        <f t="shared" ref="G1653:K1653" si="1029">SUM(G1658:G1660)</f>
        <v>17.657953790324317</v>
      </c>
      <c r="H1653" s="1">
        <f t="shared" si="1029"/>
        <v>17.227276590950265</v>
      </c>
      <c r="I1653" s="1">
        <f t="shared" si="1029"/>
        <v>16.343675884572257</v>
      </c>
      <c r="J1653" s="1">
        <f t="shared" si="1029"/>
        <v>16.343806821869222</v>
      </c>
      <c r="K1653" s="1">
        <f t="shared" si="1029"/>
        <v>16.343493796551559</v>
      </c>
    </row>
    <row r="1654" spans="2:11" x14ac:dyDescent="0.35">
      <c r="B1654" t="str">
        <f t="shared" si="1028"/>
        <v>SPS4</v>
      </c>
      <c r="C1654" t="str">
        <f t="shared" si="1019"/>
        <v>CH</v>
      </c>
      <c r="D1654" t="s">
        <v>1668</v>
      </c>
      <c r="E1654" t="str">
        <f t="shared" si="1025"/>
        <v>PJ/yr.</v>
      </c>
      <c r="F1654" s="1">
        <f>F1653-F1655</f>
        <v>17.334750391679894</v>
      </c>
      <c r="G1654" s="1">
        <f t="shared" ref="G1654:K1654" si="1030">G1653-G1655</f>
        <v>17.197774604632709</v>
      </c>
      <c r="H1654" s="1">
        <f t="shared" si="1030"/>
        <v>16.454275680155042</v>
      </c>
      <c r="I1654" s="1">
        <f t="shared" si="1030"/>
        <v>15.615155810057686</v>
      </c>
      <c r="J1654" s="1">
        <f t="shared" si="1030"/>
        <v>15.439748887804127</v>
      </c>
      <c r="K1654" s="1">
        <f t="shared" si="1030"/>
        <v>15.672683135645505</v>
      </c>
    </row>
    <row r="1655" spans="2:11" x14ac:dyDescent="0.35">
      <c r="B1655" t="str">
        <f t="shared" si="1028"/>
        <v>SPS4</v>
      </c>
      <c r="C1655" t="str">
        <f t="shared" si="1019"/>
        <v>CH</v>
      </c>
      <c r="D1655" t="s">
        <v>1669</v>
      </c>
      <c r="E1655" t="str">
        <f t="shared" si="1025"/>
        <v>PJ/yr.</v>
      </c>
      <c r="F1655" s="1">
        <f>SUM(F1656:F1657)</f>
        <v>0.44173582949941093</v>
      </c>
      <c r="G1655" s="1">
        <f t="shared" ref="G1655:K1655" si="1031">SUM(G1656:G1657)</f>
        <v>0.46017918569160821</v>
      </c>
      <c r="H1655" s="1">
        <f t="shared" si="1031"/>
        <v>0.77300091079522026</v>
      </c>
      <c r="I1655" s="1">
        <f t="shared" si="1031"/>
        <v>0.72852007451456957</v>
      </c>
      <c r="J1655" s="1">
        <f t="shared" si="1031"/>
        <v>0.90405793406509516</v>
      </c>
      <c r="K1655" s="1">
        <f t="shared" si="1031"/>
        <v>0.67081066090605435</v>
      </c>
    </row>
    <row r="1656" spans="2:11" x14ac:dyDescent="0.35">
      <c r="B1656" t="str">
        <f t="shared" si="1028"/>
        <v>SPS4</v>
      </c>
      <c r="C1656" t="str">
        <f t="shared" si="1019"/>
        <v>CH</v>
      </c>
      <c r="D1656" t="s">
        <v>1670</v>
      </c>
      <c r="E1656" t="str">
        <f t="shared" si="1025"/>
        <v>PJ/yr.</v>
      </c>
      <c r="F1656" s="1">
        <f>[1]Transport!B$26/SUM([1]Transport!B$22,[1]Transport!B$26)*F1653*(F$33+F$580)/(F$33+F$580+F$36)</f>
        <v>0.44173582949941093</v>
      </c>
      <c r="G1656" s="1">
        <f>[1]Transport!C$26/SUM([1]Transport!C$22,[1]Transport!C$26)*G1653*(G$33+G$580)/(G$33+G$580+G$36)</f>
        <v>0.46017918569160821</v>
      </c>
      <c r="H1656" s="1">
        <f>[1]Transport!D$26/SUM([1]Transport!D$22,[1]Transport!D$26)*H1653*(H$33+H$580)/(H$33+H$580+H$36)</f>
        <v>0.77300091079522026</v>
      </c>
      <c r="I1656" s="1">
        <f>[1]Transport!E$26/SUM([1]Transport!E$22,[1]Transport!E$26)*I1653*(I$33+I$580)/(I$33+I$580+I$36)</f>
        <v>0.72852007451456957</v>
      </c>
      <c r="J1656" s="1">
        <f>[1]Transport!F$26/SUM([1]Transport!F$22,[1]Transport!F$26)*J1653*(J$33+J$580)/(J$33+J$580+J$36)</f>
        <v>0.58027175879963022</v>
      </c>
      <c r="K1656" s="1">
        <f>[1]Transport!G$26/SUM([1]Transport!G$22,[1]Transport!G$26)*K1653*(K$33+K$580)/(K$33+K$580+K$36)</f>
        <v>0.67081066090605435</v>
      </c>
    </row>
    <row r="1657" spans="2:11" x14ac:dyDescent="0.35">
      <c r="B1657" t="str">
        <f t="shared" si="1028"/>
        <v>SPS4</v>
      </c>
      <c r="C1657" t="str">
        <f t="shared" si="1019"/>
        <v>CH</v>
      </c>
      <c r="D1657" t="s">
        <v>1671</v>
      </c>
      <c r="E1657" t="str">
        <f t="shared" si="1025"/>
        <v>PJ/yr.</v>
      </c>
      <c r="F1657" s="1">
        <f>(F$36+F$716)/([1]Transport!B$22+[1]Transport!B$26)*F1653</f>
        <v>0</v>
      </c>
      <c r="G1657" s="1">
        <f>(G$36+G$716)/([1]Transport!C$22+[1]Transport!C$26)*G1653</f>
        <v>0</v>
      </c>
      <c r="H1657" s="1">
        <f>(H$36+H$716)/([1]Transport!D$22+[1]Transport!D$26)*H1653</f>
        <v>0</v>
      </c>
      <c r="I1657" s="1">
        <f>(I$36+I$716)/([1]Transport!E$22+[1]Transport!E$26)*I1653</f>
        <v>0</v>
      </c>
      <c r="J1657" s="1">
        <f>(J$36+J$716)/([1]Transport!F$22+[1]Transport!F$26)*J1653</f>
        <v>0.32378617526546488</v>
      </c>
      <c r="K1657" s="1">
        <f>(K$36+K$716)/([1]Transport!G$22+[1]Transport!G$26)*K1653</f>
        <v>0</v>
      </c>
    </row>
    <row r="1658" spans="2:11" x14ac:dyDescent="0.35">
      <c r="B1658" t="str">
        <f t="shared" si="1028"/>
        <v>SPS4</v>
      </c>
      <c r="C1658" t="str">
        <f t="shared" si="1019"/>
        <v>CH</v>
      </c>
      <c r="D1658" t="s">
        <v>1672</v>
      </c>
      <c r="E1658" t="str">
        <f t="shared" si="1025"/>
        <v>PJ/yr.</v>
      </c>
      <c r="F1658" s="1" cm="1">
        <f t="array" ref="F1658">SUMPRODUCT(("TPRLPDSLEXT"=[1]OUT_TransportEnergyCons!$A$3:$A$1000)*1,("Var_Fin"=[1]OUT_TransportEnergyCons!$B$3:$B$1000)*1,ISNUMBER(SEARCH("DSL",[1]OUT_TransportEnergyCons!$C$3:$C$1000))*1,[1]OUT_TransportEnergyCons!D$3:D$1000)</f>
        <v>0</v>
      </c>
      <c r="G1658" s="1" cm="1">
        <f t="array" ref="G1658">SUMPRODUCT(("TPRLPDSLEXT"=[1]OUT_TransportEnergyCons!$A$3:$A$1000)*1,("Var_Fin"=[1]OUT_TransportEnergyCons!$B$3:$B$1000)*1,ISNUMBER(SEARCH("DSL",[1]OUT_TransportEnergyCons!$C$3:$C$1000))*1,[1]OUT_TransportEnergyCons!E$3:E$1000)</f>
        <v>0</v>
      </c>
      <c r="H1658" s="1" cm="1">
        <f t="array" ref="H1658">SUMPRODUCT(("TPRLPDSLEXT"=[1]OUT_TransportEnergyCons!$A$3:$A$1000)*1,("Var_Fin"=[1]OUT_TransportEnergyCons!$B$3:$B$1000)*1,ISNUMBER(SEARCH("DSL",[1]OUT_TransportEnergyCons!$C$3:$C$1000))*1,[1]OUT_TransportEnergyCons!F$3:F$1000)</f>
        <v>0</v>
      </c>
      <c r="I1658" s="1" cm="1">
        <f t="array" ref="I1658">SUMPRODUCT(("TPRLPDSLEXT"=[1]OUT_TransportEnergyCons!$A$3:$A$1000)*1,("Var_Fin"=[1]OUT_TransportEnergyCons!$B$3:$B$1000)*1,ISNUMBER(SEARCH("DSL",[1]OUT_TransportEnergyCons!$C$3:$C$1000))*1,[1]OUT_TransportEnergyCons!G$3:G$1000)</f>
        <v>0</v>
      </c>
      <c r="J1658" s="1" cm="1">
        <f t="array" ref="J1658">SUMPRODUCT(("TPRLPDSLEXT"=[1]OUT_TransportEnergyCons!$A$3:$A$1000)*1,("Var_Fin"=[1]OUT_TransportEnergyCons!$B$3:$B$1000)*1,ISNUMBER(SEARCH("DSL",[1]OUT_TransportEnergyCons!$C$3:$C$1000))*1,[1]OUT_TransportEnergyCons!H$3:H$1000)</f>
        <v>0</v>
      </c>
      <c r="K1658" s="1" cm="1">
        <f t="array" ref="K1658">SUMPRODUCT(("TPRLPDSLEXT"=[1]OUT_TransportEnergyCons!$A$3:$A$1000)*1,("Var_Fin"=[1]OUT_TransportEnergyCons!$B$3:$B$1000)*1,ISNUMBER(SEARCH("DSL",[1]OUT_TransportEnergyCons!$C$3:$C$1000))*1,[1]OUT_TransportEnergyCons!I$3:I$1000)</f>
        <v>0</v>
      </c>
    </row>
    <row r="1659" spans="2:11" x14ac:dyDescent="0.35">
      <c r="B1659" t="str">
        <f t="shared" si="1028"/>
        <v>SPS4</v>
      </c>
      <c r="C1659" t="str">
        <f t="shared" si="1019"/>
        <v>CH</v>
      </c>
      <c r="D1659" t="s">
        <v>1673</v>
      </c>
      <c r="E1659" t="str">
        <f t="shared" si="1025"/>
        <v>PJ/yr.</v>
      </c>
      <c r="F1659" s="1" cm="1">
        <f t="array" ref="F1659">SUMPRODUCT(("TFRLFDSLEXT"=[1]OUT_TransportEnergyCons!$A$3:$A$1000)*1,("Var_Fin"=[1]OUT_TransportEnergyCons!$B$3:$B$1000)*1,ISNUMBER(SEARCH("DSL",[1]OUT_TransportEnergyCons!$C$3:$C$1000))*1,[1]OUT_TransportEnergyCons!D$3:D$1000)</f>
        <v>0.39608841484459378</v>
      </c>
      <c r="G1659" s="1" cm="1">
        <f t="array" ref="G1659">SUMPRODUCT(("TFRLFDSLEXT"=[1]OUT_TransportEnergyCons!$A$3:$A$1000)*1,("Var_Fin"=[1]OUT_TransportEnergyCons!$B$3:$B$1000)*1,ISNUMBER(SEARCH("DSL",[1]OUT_TransportEnergyCons!$C$3:$C$1000))*1,[1]OUT_TransportEnergyCons!E$3:E$1000)</f>
        <v>0.27753574622553562</v>
      </c>
      <c r="H1659" s="1" cm="1">
        <f t="array" ref="H1659">SUMPRODUCT(("TFRLFDSLEXT"=[1]OUT_TransportEnergyCons!$A$3:$A$1000)*1,("Var_Fin"=[1]OUT_TransportEnergyCons!$B$3:$B$1000)*1,ISNUMBER(SEARCH("DSL",[1]OUT_TransportEnergyCons!$C$3:$C$1000))*1,[1]OUT_TransportEnergyCons!F$3:F$1000)</f>
        <v>5.8518985076286268E-4</v>
      </c>
      <c r="I1659" s="1" cm="1">
        <f t="array" ref="I1659">SUMPRODUCT(("TFRLFDSLEXT"=[1]OUT_TransportEnergyCons!$A$3:$A$1000)*1,("Var_Fin"=[1]OUT_TransportEnergyCons!$B$3:$B$1000)*1,ISNUMBER(SEARCH("DSL",[1]OUT_TransportEnergyCons!$C$3:$C$1000))*1,[1]OUT_TransportEnergyCons!G$3:G$1000)</f>
        <v>6.0973917427926386E-4</v>
      </c>
      <c r="J1659" s="1" cm="1">
        <f t="array" ref="J1659">SUMPRODUCT(("TFRLFDSLEXT"=[1]OUT_TransportEnergyCons!$A$3:$A$1000)*1,("Var_Fin"=[1]OUT_TransportEnergyCons!$B$3:$B$1000)*1,ISNUMBER(SEARCH("DSL",[1]OUT_TransportEnergyCons!$C$3:$C$1000))*1,[1]OUT_TransportEnergyCons!H$3:H$1000)</f>
        <v>6.092296539039596E-4</v>
      </c>
      <c r="K1659" s="1" cm="1">
        <f t="array" ref="K1659">SUMPRODUCT(("TFRLFDSLEXT"=[1]OUT_TransportEnergyCons!$A$3:$A$1000)*1,("Var_Fin"=[1]OUT_TransportEnergyCons!$B$3:$B$1000)*1,ISNUMBER(SEARCH("DSL",[1]OUT_TransportEnergyCons!$C$3:$C$1000))*1,[1]OUT_TransportEnergyCons!I$3:I$1000)</f>
        <v>3.0889028857921172E-4</v>
      </c>
    </row>
    <row r="1660" spans="2:11" x14ac:dyDescent="0.35">
      <c r="B1660" t="str">
        <f t="shared" si="1028"/>
        <v>SPS4</v>
      </c>
      <c r="C1660" t="str">
        <f t="shared" si="1019"/>
        <v>CH</v>
      </c>
      <c r="D1660" t="s">
        <v>1674</v>
      </c>
      <c r="E1660" t="str">
        <f t="shared" si="1025"/>
        <v>PJ/yr.</v>
      </c>
      <c r="F1660" s="1" cm="1">
        <f t="array" ref="F1660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0" s="1" cm="1">
        <f t="array" ref="G1660">SUMPRODUCT(("TPSHPDSLEXT"=[1]OUT_TransportEnergyCons!$A$3:$A$1000)*1,("Var_Fin"=[1]OUT_TransportEnergyCons!$B$3:$B$1000)*1,ISNUMBER(SEARCH("DSL",[1]OUT_TransportEnergyCons!$C$3:$C$1000))*1,[1]OUT_TransportEnergyCons!E$3:E$1000)</f>
        <v>17.380418044098782</v>
      </c>
      <c r="H1660" s="1" cm="1">
        <f t="array" ref="H1660">SUMPRODUCT(("TPSHPDSLEXT"=[1]OUT_TransportEnergyCons!$A$3:$A$1000)*1,("Var_Fin"=[1]OUT_TransportEnergyCons!$B$3:$B$1000)*1,ISNUMBER(SEARCH("DSL",[1]OUT_TransportEnergyCons!$C$3:$C$1000))*1,[1]OUT_TransportEnergyCons!F$3:F$1000)</f>
        <v>17.226691401099501</v>
      </c>
      <c r="I1660" s="1" cm="1">
        <f t="array" ref="I1660">SUMPRODUCT(("TPSHPDSLEXT"=[1]OUT_TransportEnergyCons!$A$3:$A$1000)*1,("Var_Fin"=[1]OUT_TransportEnergyCons!$B$3:$B$1000)*1,ISNUMBER(SEARCH("DSL",[1]OUT_TransportEnergyCons!$C$3:$C$1000))*1,[1]OUT_TransportEnergyCons!G$3:G$1000)</f>
        <v>16.343066145397977</v>
      </c>
      <c r="J1660" s="1" cm="1">
        <f t="array" ref="J1660">SUMPRODUCT(("TPSHPDSLEXT"=[1]OUT_TransportEnergyCons!$A$3:$A$1000)*1,("Var_Fin"=[1]OUT_TransportEnergyCons!$B$3:$B$1000)*1,ISNUMBER(SEARCH("DSL",[1]OUT_TransportEnergyCons!$C$3:$C$1000))*1,[1]OUT_TransportEnergyCons!H$3:H$1000)</f>
        <v>16.343197592215319</v>
      </c>
      <c r="K1660" s="1" cm="1">
        <f t="array" ref="K1660">SUMPRODUCT(("TPSHPDSLEXT"=[1]OUT_TransportEnergyCons!$A$3:$A$1000)*1,("Var_Fin"=[1]OUT_TransportEnergyCons!$B$3:$B$1000)*1,ISNUMBER(SEARCH("DSL",[1]OUT_TransportEnergyCons!$C$3:$C$1000))*1,[1]OUT_TransportEnergyCons!I$3:I$1000)</f>
        <v>16.34318490626298</v>
      </c>
    </row>
    <row r="1661" spans="2:11" x14ac:dyDescent="0.35">
      <c r="B1661" s="2" t="str">
        <f t="shared" si="1028"/>
        <v>SPS4</v>
      </c>
      <c r="C1661" s="2" t="str">
        <f t="shared" si="1019"/>
        <v>CH</v>
      </c>
      <c r="D1661" s="2" t="s">
        <v>1675</v>
      </c>
      <c r="E1661" s="21" t="s">
        <v>292</v>
      </c>
      <c r="F1661" s="21" t="s">
        <v>292</v>
      </c>
      <c r="G1661" s="21" t="s">
        <v>292</v>
      </c>
      <c r="H1661" s="21" t="s">
        <v>292</v>
      </c>
      <c r="I1661" s="21" t="s">
        <v>292</v>
      </c>
      <c r="J1661" s="21" t="s">
        <v>292</v>
      </c>
      <c r="K1661" s="21" t="s">
        <v>292</v>
      </c>
    </row>
    <row r="1662" spans="2:11" x14ac:dyDescent="0.35">
      <c r="B1662" t="str">
        <f t="shared" si="1028"/>
        <v>SPS4</v>
      </c>
      <c r="C1662" t="str">
        <f t="shared" si="1019"/>
        <v>CH</v>
      </c>
      <c r="D1662" t="s">
        <v>1676</v>
      </c>
      <c r="E1662" t="s">
        <v>1518</v>
      </c>
      <c r="F1662" s="1" cm="1">
        <f t="array" ref="F1662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2" s="1" cm="1">
        <f t="array" ref="G1662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2" s="1" cm="1">
        <f t="array" ref="H1662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2" s="1" cm="1">
        <f t="array" ref="I1662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2" s="1" cm="1">
        <f t="array" ref="J1662">SUMPRODUCT(("TPRLPELCEXT"=[1]OUT_TransportEnergyCons!$A$3:$A$1000)*1,("var_fout"=[1]OUT_TransportEnergyCons!$B$3:$B$1000)*1,ISNUMBER(SEARCH("TPRLP",[1]OUT_TransportEnergyCons!$C$3:$C$1000))*1,[1]OUT_TransportEnergyCons!H$3:H$1000)</f>
        <v>0.24502178379704065</v>
      </c>
      <c r="K1662" s="1" cm="1">
        <f t="array" ref="K1662">SUMPRODUCT(("TPRLPELCEXT"=[1]OUT_TransportEnergyCons!$A$3:$A$1000)*1,("var_fout"=[1]OUT_TransportEnergyCons!$B$3:$B$1000)*1,ISNUMBER(SEARCH("TPRLP",[1]OUT_TransportEnergyCons!$C$3:$C$1000))*1,[1]OUT_TransportEnergyCons!I$3:I$1000)</f>
        <v>0.2633952325827133</v>
      </c>
    </row>
    <row r="1663" spans="2:11" x14ac:dyDescent="0.35">
      <c r="B1663" t="str">
        <f t="shared" si="1028"/>
        <v>SPS4</v>
      </c>
      <c r="C1663" t="str">
        <f t="shared" si="1019"/>
        <v>CH</v>
      </c>
      <c r="D1663" t="s">
        <v>1677</v>
      </c>
      <c r="E1663" t="str">
        <f t="shared" ref="E1663:E1666" si="1032">E1662</f>
        <v>Billion km/yr.</v>
      </c>
      <c r="F1663" s="1" cm="1">
        <f t="array" ref="F1663">SUMPRODUCT(("TFRLFELCEXT"=[1]OUT_TransportEnergyCons!$A$3:$A$1000)*1,("var_fout"=[1]OUT_TransportEnergyCons!$B$3:$B$1000)*1,ISNUMBER(SEARCH("TfRLf",[1]OUT_TransportEnergyCons!$C$3:$C$1000))*1,[1]OUT_TransportEnergyCons!D$3:D$1000)</f>
        <v>2.5094624388935085E-2</v>
      </c>
      <c r="G1663" s="1" cm="1">
        <f t="array" ref="G1663">SUMPRODUCT(("TFRLFELCEXT"=[1]OUT_TransportEnergyCons!$A$3:$A$1000)*1,("var_fout"=[1]OUT_TransportEnergyCons!$B$3:$B$1000)*1,ISNUMBER(SEARCH("TfRLf",[1]OUT_TransportEnergyCons!$C$3:$C$1000))*1,[1]OUT_TransportEnergyCons!E$3:E$1000)</f>
        <v>2.6564233625830658E-2</v>
      </c>
      <c r="H1663" s="1" cm="1">
        <f t="array" ref="H1663">SUMPRODUCT(("TFRLFELCEXT"=[1]OUT_TransportEnergyCons!$A$3:$A$1000)*1,("var_fout"=[1]OUT_TransportEnergyCons!$B$3:$B$1000)*1,ISNUMBER(SEARCH("TfRLf",[1]OUT_TransportEnergyCons!$C$3:$C$1000))*1,[1]OUT_TransportEnergyCons!F$3:F$1000)</f>
        <v>2.9169208449136425E-2</v>
      </c>
      <c r="I1663" s="1" cm="1">
        <f t="array" ref="I1663">SUMPRODUCT(("TFRLFELCEXT"=[1]OUT_TransportEnergyCons!$A$3:$A$1000)*1,("var_fout"=[1]OUT_TransportEnergyCons!$B$3:$B$1000)*1,ISNUMBER(SEARCH("TfRLf",[1]OUT_TransportEnergyCons!$C$3:$C$1000))*1,[1]OUT_TransportEnergyCons!G$3:G$1000)</f>
        <v>3.1641845410504889E-2</v>
      </c>
      <c r="J1663" s="1" cm="1">
        <f t="array" ref="J1663">SUMPRODUCT(("TFRLFELCEXT"=[1]OUT_TransportEnergyCons!$A$3:$A$1000)*1,("var_fout"=[1]OUT_TransportEnergyCons!$B$3:$B$1000)*1,ISNUMBER(SEARCH("TfRLf",[1]OUT_TransportEnergyCons!$C$3:$C$1000))*1,[1]OUT_TransportEnergyCons!H$3:H$1000)</f>
        <v>3.3876765259846113E-2</v>
      </c>
      <c r="K1663" s="1" cm="1">
        <f t="array" ref="K1663">SUMPRODUCT(("TFRLFELCEXT"=[1]OUT_TransportEnergyCons!$A$3:$A$1000)*1,("var_fout"=[1]OUT_TransportEnergyCons!$B$3:$B$1000)*1,ISNUMBER(SEARCH("TfRLf",[1]OUT_TransportEnergyCons!$C$3:$C$1000))*1,[1]OUT_TransportEnergyCons!I$3:I$1000)</f>
        <v>3.6420875625994387E-2</v>
      </c>
    </row>
    <row r="1664" spans="2:11" x14ac:dyDescent="0.35">
      <c r="B1664" t="str">
        <f t="shared" si="1028"/>
        <v>SPS4</v>
      </c>
      <c r="C1664" t="str">
        <f t="shared" si="1019"/>
        <v>CH</v>
      </c>
      <c r="D1664" t="s">
        <v>1678</v>
      </c>
      <c r="E1664" t="s">
        <v>8</v>
      </c>
      <c r="F1664" s="1" cm="1">
        <f t="array" ref="F1664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4" s="1" cm="1">
        <f t="array" ref="G1664">SUMPRODUCT(("TPSHPELCEXT"=[1]OUT_TransportEnergyCons!$A$3:$A$1000)*1,("var_fout"=[1]OUT_TransportEnergyCons!$B$3:$B$1000)*1,ISNUMBER(SEARCH("TPSHP",[1]OUT_TransportEnergyCons!$C$3:$C$1000))*1,[1]OUT_TransportEnergyCons!E$3:E$1000)</f>
        <v>3.1444861569125897E-5</v>
      </c>
      <c r="H1664" s="1" cm="1">
        <f t="array" ref="H1664">SUMPRODUCT(("TPSHPELCEXT"=[1]OUT_TransportEnergyCons!$A$3:$A$1000)*1,("var_fout"=[1]OUT_TransportEnergyCons!$B$3:$B$1000)*1,ISNUMBER(SEARCH("TPSHP",[1]OUT_TransportEnergyCons!$C$3:$C$1000))*1,[1]OUT_TransportEnergyCons!F$3:F$1000)</f>
        <v>4.2844833481927998E-5</v>
      </c>
      <c r="I1664" s="1" cm="1">
        <f t="array" ref="I1664">SUMPRODUCT(("TPSHPELCEXT"=[1]OUT_TransportEnergyCons!$A$3:$A$1000)*1,("var_fout"=[1]OUT_TransportEnergyCons!$B$3:$B$1000)*1,ISNUMBER(SEARCH("TPSHP",[1]OUT_TransportEnergyCons!$C$3:$C$1000))*1,[1]OUT_TransportEnergyCons!G$3:G$1000)</f>
        <v>2.7809593696923001E-5</v>
      </c>
      <c r="J1664" s="1" cm="1">
        <f t="array" ref="J1664">SUMPRODUCT(("TPSHPELCEXT"=[1]OUT_TransportEnergyCons!$A$3:$A$1000)*1,("var_fout"=[1]OUT_TransportEnergyCons!$B$3:$B$1000)*1,ISNUMBER(SEARCH("TPSHP",[1]OUT_TransportEnergyCons!$C$3:$C$1000))*1,[1]OUT_TransportEnergyCons!H$3:H$1000)</f>
        <v>1.4767799922325599E-5</v>
      </c>
      <c r="K1664" s="1" cm="1">
        <f t="array" ref="K1664">SUMPRODUCT(("TPSHPELCEXT"=[1]OUT_TransportEnergyCons!$A$3:$A$1000)*1,("var_fout"=[1]OUT_TransportEnergyCons!$B$3:$B$1000)*1,ISNUMBER(SEARCH("TPSHP",[1]OUT_TransportEnergyCons!$C$3:$C$1000))*1,[1]OUT_TransportEnergyCons!I$3:I$1000)</f>
        <v>2.96566944174296E-5</v>
      </c>
    </row>
    <row r="1665" spans="2:11" x14ac:dyDescent="0.35">
      <c r="B1665" t="str">
        <f t="shared" si="1028"/>
        <v>SPS4</v>
      </c>
      <c r="C1665" t="str">
        <f t="shared" si="1019"/>
        <v>CH</v>
      </c>
      <c r="D1665" t="s">
        <v>1679</v>
      </c>
      <c r="E1665" t="s">
        <v>1518</v>
      </c>
      <c r="F1665" s="1" cm="1">
        <f t="array" ref="F1665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65" s="1" cm="1">
        <f t="array" ref="G1665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65" s="1" cm="1">
        <f t="array" ref="H1665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65" s="1" cm="1">
        <f t="array" ref="I1665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65" s="1" cm="1">
        <f t="array" ref="J1665">SUMPRODUCT(("TPRLPH2OFCL"=[1]OUT_TransportEnergyCons!$A$3:$A$1000)*1,("var_fout"=[1]OUT_TransportEnergyCons!$B$3:$B$1000)*1,ISNUMBER(SEARCH("TPRLP",[1]OUT_TransportEnergyCons!$C$3:$C$1000))*1,[1]OUT_TransportEnergyCons!H$3:H$1000)</f>
        <v>3.2112344531600454E-6</v>
      </c>
      <c r="K1665" s="1" cm="1">
        <f t="array" ref="K1665">SUMPRODUCT(("TPRLPH2OFCL"=[1]OUT_TransportEnergyCons!$A$3:$A$1000)*1,("var_fout"=[1]OUT_TransportEnergyCons!$B$3:$B$1000)*1,ISNUMBER(SEARCH("TPRLP",[1]OUT_TransportEnergyCons!$C$3:$C$1000))*1,[1]OUT_TransportEnergyCons!I$3:I$1000)</f>
        <v>5.5147952756583996E-6</v>
      </c>
    </row>
    <row r="1666" spans="2:11" x14ac:dyDescent="0.35">
      <c r="B1666" t="str">
        <f t="shared" si="1028"/>
        <v>SPS4</v>
      </c>
      <c r="C1666" t="str">
        <f t="shared" si="1019"/>
        <v>CH</v>
      </c>
      <c r="D1666" t="s">
        <v>1680</v>
      </c>
      <c r="E1666" t="str">
        <f t="shared" si="1032"/>
        <v>Billion km/yr.</v>
      </c>
      <c r="F1666" s="1" cm="1">
        <f t="array" ref="F1666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66" s="1" cm="1">
        <f t="array" ref="G1666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66" s="1" cm="1">
        <f t="array" ref="H1666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66" s="1" cm="1">
        <f t="array" ref="I1666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66" s="1" cm="1">
        <f t="array" ref="J1666">SUMPRODUCT(("TFRLFH2OFCL"=[1]OUT_TransportEnergyCons!$A$3:$A$1000)*1,("var_fout"=[1]OUT_TransportEnergyCons!$B$3:$B$1000)*1,ISNUMBER(SEARCH("TfRLf",[1]OUT_TransportEnergyCons!$C$3:$C$1000))*1,[1]OUT_TransportEnergyCons!H$3:H$1000)</f>
        <v>3.5364938673835432E-7</v>
      </c>
      <c r="K1666" s="1" cm="1">
        <f t="array" ref="K1666">SUMPRODUCT(("TFRLFH2OFCL"=[1]OUT_TransportEnergyCons!$A$3:$A$1000)*1,("var_fout"=[1]OUT_TransportEnergyCons!$B$3:$B$1000)*1,ISNUMBER(SEARCH("TfRLf",[1]OUT_TransportEnergyCons!$C$3:$C$1000))*1,[1]OUT_TransportEnergyCons!I$3:I$1000)</f>
        <v>3.6410628915188622E-7</v>
      </c>
    </row>
    <row r="1667" spans="2:11" x14ac:dyDescent="0.35">
      <c r="B1667" t="str">
        <f t="shared" si="1028"/>
        <v>SPS4</v>
      </c>
      <c r="C1667" t="str">
        <f t="shared" si="1019"/>
        <v>CH</v>
      </c>
      <c r="D1667" t="s">
        <v>1681</v>
      </c>
      <c r="E1667" t="s">
        <v>8</v>
      </c>
      <c r="F1667" s="1" cm="1">
        <f t="array" ref="F1667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67" s="1" cm="1">
        <f t="array" ref="G1667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67" s="1" cm="1">
        <f t="array" ref="H1667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67" s="1" cm="1">
        <f t="array" ref="I1667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67" s="1" cm="1">
        <f t="array" ref="J1667">SUMPRODUCT(("TPSHPH2OEXT"=[1]OUT_TransportEnergyCons!$A$3:$A$1000)*1,("var_fout"=[1]OUT_TransportEnergyCons!$B$3:$B$1000)*1,ISNUMBER(SEARCH("TPSHP",[1]OUT_TransportEnergyCons!$C$3:$C$1000))*1,[1]OUT_TransportEnergyCons!H$3:H$1000)</f>
        <v>1.6779011616240999E-5</v>
      </c>
      <c r="K1667" s="1" cm="1">
        <f t="array" ref="K1667">SUMPRODUCT(("TPSHPH2OEXT"=[1]OUT_TransportEnergyCons!$A$3:$A$1000)*1,("var_fout"=[1]OUT_TransportEnergyCons!$B$3:$B$1000)*1,ISNUMBER(SEARCH("TPSHP",[1]OUT_TransportEnergyCons!$C$3:$C$1000))*1,[1]OUT_TransportEnergyCons!I$3:I$1000)</f>
        <v>2.3748826181796899E-5</v>
      </c>
    </row>
    <row r="1668" spans="2:11" x14ac:dyDescent="0.35">
      <c r="B1668" t="str">
        <f t="shared" si="1028"/>
        <v>SPS4</v>
      </c>
      <c r="C1668" t="str">
        <f t="shared" si="1019"/>
        <v>CH</v>
      </c>
      <c r="D1668" t="s">
        <v>1682</v>
      </c>
      <c r="E1668" t="s">
        <v>8</v>
      </c>
      <c r="F1668" s="1" cm="1">
        <f t="array" ref="F1668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68" s="1" cm="1">
        <f t="array" ref="G1668">SUMPRODUCT(("TPSHPGSLEXT"=[1]OUT_TransportEnergyCons!$A$3:$A$1000)*1,("var_fout"=[1]OUT_TransportEnergyCons!$B$3:$B$1000)*1,ISNUMBER(SEARCH("TPSHP",[1]OUT_TransportEnergyCons!$C$3:$C$1000))*1,[1]OUT_TransportEnergyCons!E$3:E$1000)</f>
        <v>0.72256825383177903</v>
      </c>
      <c r="H1668" s="1" cm="1">
        <f t="array" ref="H1668">SUMPRODUCT(("TPSHPGSLEXT"=[1]OUT_TransportEnergyCons!$A$3:$A$1000)*1,("var_fout"=[1]OUT_TransportEnergyCons!$B$3:$B$1000)*1,ISNUMBER(SEARCH("TPSHP",[1]OUT_TransportEnergyCons!$C$3:$C$1000))*1,[1]OUT_TransportEnergyCons!F$3:F$1000)</f>
        <v>2.54259686921466E-4</v>
      </c>
      <c r="I1668" s="1" cm="1">
        <f t="array" ref="I1668">SUMPRODUCT(("TPSHPGSLEXT"=[1]OUT_TransportEnergyCons!$A$3:$A$1000)*1,("var_fout"=[1]OUT_TransportEnergyCons!$B$3:$B$1000)*1,ISNUMBER(SEARCH("TPSHP",[1]OUT_TransportEnergyCons!$C$3:$C$1000))*1,[1]OUT_TransportEnergyCons!G$3:G$1000)</f>
        <v>1.91289555377487E-4</v>
      </c>
      <c r="J1668" s="1" cm="1">
        <f t="array" ref="J1668">SUMPRODUCT(("TPSHPGSLEXT"=[1]OUT_TransportEnergyCons!$A$3:$A$1000)*1,("var_fout"=[1]OUT_TransportEnergyCons!$B$3:$B$1000)*1,ISNUMBER(SEARCH("TPSHP",[1]OUT_TransportEnergyCons!$C$3:$C$1000))*1,[1]OUT_TransportEnergyCons!H$3:H$1000)</f>
        <v>7.9519853989309697E-5</v>
      </c>
      <c r="K1668" s="1" cm="1">
        <f t="array" ref="K1668">SUMPRODUCT(("TPSHPGSLEXT"=[1]OUT_TransportEnergyCons!$A$3:$A$1000)*1,("var_fout"=[1]OUT_TransportEnergyCons!$B$3:$B$1000)*1,ISNUMBER(SEARCH("TPSHP",[1]OUT_TransportEnergyCons!$C$3:$C$1000))*1,[1]OUT_TransportEnergyCons!I$3:I$1000)</f>
        <v>0</v>
      </c>
    </row>
    <row r="1669" spans="2:11" x14ac:dyDescent="0.35">
      <c r="B1669" t="str">
        <f t="shared" si="1028"/>
        <v>SPS4</v>
      </c>
      <c r="C1669" t="str">
        <f t="shared" si="1019"/>
        <v>CH</v>
      </c>
      <c r="D1669" t="s">
        <v>1683</v>
      </c>
      <c r="E1669" t="s">
        <v>1518</v>
      </c>
      <c r="F1669" s="1" cm="1">
        <f t="array" ref="F1669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69" s="1" cm="1">
        <f t="array" ref="G1669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69" s="1" cm="1">
        <f t="array" ref="H1669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69" s="1" cm="1">
        <f t="array" ref="I1669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69" s="1" cm="1">
        <f t="array" ref="J1669">SUMPRODUCT(("TPRLPDSLEXT"=[1]OUT_TransportEnergyCons!$A$3:$A$1000)*1,("var_fout"=[1]OUT_TransportEnergyCons!$B$3:$B$1000)*1,ISNUMBER(SEARCH("TPRLP",[1]OUT_TransportEnergyCons!$C$3:$C$1000))*1,[1]OUT_TransportEnergyCons!H$3:H$1000)</f>
        <v>0</v>
      </c>
      <c r="K1669" s="1" cm="1">
        <f t="array" ref="K1669">SUMPRODUCT(("TPRLPDSLEXT"=[1]OUT_TransportEnergyCons!$A$3:$A$1000)*1,("var_fout"=[1]OUT_TransportEnergyCons!$B$3:$B$1000)*1,ISNUMBER(SEARCH("TPRLP",[1]OUT_TransportEnergyCons!$C$3:$C$1000))*1,[1]OUT_TransportEnergyCons!I$3:I$1000)</f>
        <v>0</v>
      </c>
    </row>
    <row r="1670" spans="2:11" x14ac:dyDescent="0.35">
      <c r="B1670" t="str">
        <f t="shared" si="1028"/>
        <v>SPS4</v>
      </c>
      <c r="C1670" t="str">
        <f t="shared" si="1019"/>
        <v>CH</v>
      </c>
      <c r="D1670" t="s">
        <v>1684</v>
      </c>
      <c r="E1670" t="str">
        <f t="shared" ref="E1670" si="1033">E1669</f>
        <v>Billion km/yr.</v>
      </c>
      <c r="F1670" s="1" cm="1">
        <f t="array" ref="F1670">SUMPRODUCT(("TFRLFDSLEXT"=[1]OUT_TransportEnergyCons!$A$3:$A$1000)*1,("var_fout"=[1]OUT_TransportEnergyCons!$B$3:$B$1000)*1,ISNUMBER(SEARCH("TfRLf",[1]OUT_TransportEnergyCons!$C$3:$C$1000))*1,[1]OUT_TransportEnergyCons!D$3:D$1000)</f>
        <v>1.6053756110648882E-3</v>
      </c>
      <c r="G1670" s="1" cm="1">
        <f t="array" ref="G1670">SUMPRODUCT(("TFRLFDSLEXT"=[1]OUT_TransportEnergyCons!$A$3:$A$1000)*1,("var_fout"=[1]OUT_TransportEnergyCons!$B$3:$B$1000)*1,ISNUMBER(SEARCH("TfRLf",[1]OUT_TransportEnergyCons!$C$3:$C$1000))*1,[1]OUT_TransportEnergyCons!E$3:E$1000)</f>
        <v>1.124872885676249E-3</v>
      </c>
      <c r="H1670" s="1" cm="1">
        <f t="array" ref="H1670">SUMPRODUCT(("TFRLFDSLEXT"=[1]OUT_TransportEnergyCons!$A$3:$A$1000)*1,("var_fout"=[1]OUT_TransportEnergyCons!$B$3:$B$1000)*1,ISNUMBER(SEARCH("TfRLf",[1]OUT_TransportEnergyCons!$C$3:$C$1000))*1,[1]OUT_TransportEnergyCons!F$3:F$1000)</f>
        <v>2.3718177029388699E-6</v>
      </c>
      <c r="I1670" s="1" cm="1">
        <f t="array" ref="I1670">SUMPRODUCT(("TFRLFDSLEXT"=[1]OUT_TransportEnergyCons!$A$3:$A$1000)*1,("var_fout"=[1]OUT_TransportEnergyCons!$B$3:$B$1000)*1,ISNUMBER(SEARCH("TfRLf",[1]OUT_TransportEnergyCons!$C$3:$C$1000))*1,[1]OUT_TransportEnergyCons!G$3:G$1000)</f>
        <v>2.4713179250214436E-6</v>
      </c>
      <c r="J1670" s="1" cm="1">
        <f t="array" ref="J1670">SUMPRODUCT(("TFRLFDSLEXT"=[1]OUT_TransportEnergyCons!$A$3:$A$1000)*1,("var_fout"=[1]OUT_TransportEnergyCons!$B$3:$B$1000)*1,ISNUMBER(SEARCH("TfRLf",[1]OUT_TransportEnergyCons!$C$3:$C$1000))*1,[1]OUT_TransportEnergyCons!H$3:H$1000)</f>
        <v>2.4692528012935117E-6</v>
      </c>
      <c r="K1670" s="1" cm="1">
        <f t="array" ref="K1670">SUMPRODUCT(("TFRLFDSLEXT"=[1]OUT_TransportEnergyCons!$A$3:$A$1000)*1,("var_fout"=[1]OUT_TransportEnergyCons!$B$3:$B$1000)*1,ISNUMBER(SEARCH("TfRLf",[1]OUT_TransportEnergyCons!$C$3:$C$1000))*1,[1]OUT_TransportEnergyCons!I$3:I$1000)</f>
        <v>1.2519551625220427E-6</v>
      </c>
    </row>
    <row r="1671" spans="2:11" x14ac:dyDescent="0.35">
      <c r="B1671" t="str">
        <f t="shared" si="1028"/>
        <v>SPS4</v>
      </c>
      <c r="C1671" t="str">
        <f t="shared" si="1019"/>
        <v>CH</v>
      </c>
      <c r="D1671" t="s">
        <v>1685</v>
      </c>
      <c r="E1671" t="s">
        <v>8</v>
      </c>
      <c r="F1671" s="1" cm="1">
        <f t="array" ref="F1671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1" s="1" cm="1">
        <f t="array" ref="G1671">SUMPRODUCT(("TPSHPDSLEXT"=[1]OUT_TransportEnergyCons!$A$3:$A$1000)*1,("var_fout"=[1]OUT_TransportEnergyCons!$B$3:$B$1000)*1,ISNUMBER(SEARCH("TPSHP",[1]OUT_TransportEnergyCons!$C$3:$C$1000))*1,[1]OUT_TransportEnergyCons!E$3:E$1000)</f>
        <v>17.176541919378401</v>
      </c>
      <c r="H1671" s="1" cm="1">
        <f t="array" ref="H1671">SUMPRODUCT(("TPSHPDSLEXT"=[1]OUT_TransportEnergyCons!$A$3:$A$1000)*1,("var_fout"=[1]OUT_TransportEnergyCons!$B$3:$B$1000)*1,ISNUMBER(SEARCH("TPSHP",[1]OUT_TransportEnergyCons!$C$3:$C$1000))*1,[1]OUT_TransportEnergyCons!F$3:F$1000)</f>
        <v>17.024618523697999</v>
      </c>
      <c r="I1671" s="1" cm="1">
        <f t="array" ref="I1671">SUMPRODUCT(("TPSHPDSLEXT"=[1]OUT_TransportEnergyCons!$A$3:$A$1000)*1,("var_fout"=[1]OUT_TransportEnergyCons!$B$3:$B$1000)*1,ISNUMBER(SEARCH("TPSHP",[1]OUT_TransportEnergyCons!$C$3:$C$1000))*1,[1]OUT_TransportEnergyCons!G$3:G$1000)</f>
        <v>16.151358386509699</v>
      </c>
      <c r="J1671" s="1" cm="1">
        <f t="array" ref="J1671">SUMPRODUCT(("TPSHPDSLEXT"=[1]OUT_TransportEnergyCons!$A$3:$A$1000)*1,("var_fout"=[1]OUT_TransportEnergyCons!$B$3:$B$1000)*1,ISNUMBER(SEARCH("TPSHP",[1]OUT_TransportEnergyCons!$C$3:$C$1000))*1,[1]OUT_TransportEnergyCons!H$3:H$1000)</f>
        <v>16.1514882914271</v>
      </c>
      <c r="K1671" s="1" cm="1">
        <f t="array" ref="K1671">SUMPRODUCT(("TPSHPDSLEXT"=[1]OUT_TransportEnergyCons!$A$3:$A$1000)*1,("var_fout"=[1]OUT_TransportEnergyCons!$B$3:$B$1000)*1,ISNUMBER(SEARCH("TPSHP",[1]OUT_TransportEnergyCons!$C$3:$C$1000))*1,[1]OUT_TransportEnergyCons!I$3:I$1000)</f>
        <v>16.151475754283702</v>
      </c>
    </row>
    <row r="1672" spans="2:11" x14ac:dyDescent="0.35">
      <c r="B1672" s="2" t="str">
        <f t="shared" si="1028"/>
        <v>SPS4</v>
      </c>
      <c r="C1672" s="2" t="str">
        <f t="shared" si="1019"/>
        <v>CH</v>
      </c>
      <c r="D1672" s="2" t="s">
        <v>1686</v>
      </c>
      <c r="E1672" s="21" t="s">
        <v>292</v>
      </c>
      <c r="F1672" s="21" t="s">
        <v>292</v>
      </c>
      <c r="G1672" s="21" t="s">
        <v>292</v>
      </c>
      <c r="H1672" s="21" t="s">
        <v>292</v>
      </c>
      <c r="I1672" s="21" t="s">
        <v>292</v>
      </c>
      <c r="J1672" s="21" t="s">
        <v>292</v>
      </c>
      <c r="K1672" s="21" t="s">
        <v>292</v>
      </c>
    </row>
    <row r="1673" spans="2:11" x14ac:dyDescent="0.35">
      <c r="B1673" t="str">
        <f t="shared" si="1028"/>
        <v>SPS4</v>
      </c>
      <c r="C1673" t="str">
        <f t="shared" si="1019"/>
        <v>CH</v>
      </c>
      <c r="D1673" t="s">
        <v>1687</v>
      </c>
      <c r="E1673" t="s">
        <v>1230</v>
      </c>
      <c r="F1673" s="7">
        <f>IFERROR(F1662/F1640,"-")</f>
        <v>2.5309161094553195E-2</v>
      </c>
      <c r="G1673" s="7">
        <f t="shared" ref="G1673:K1673" si="1034">IFERROR(G1662/G1640,"-")</f>
        <v>2.5301857215832019E-2</v>
      </c>
      <c r="H1673" s="7">
        <f t="shared" si="1034"/>
        <v>2.5290901397750198E-2</v>
      </c>
      <c r="I1673" s="7">
        <f t="shared" si="1034"/>
        <v>2.5272641700947188E-2</v>
      </c>
      <c r="J1673" s="7">
        <f t="shared" si="1034"/>
        <v>2.5236122307341288E-2</v>
      </c>
      <c r="K1673" s="7">
        <f t="shared" si="1034"/>
        <v>2.5199602913735283E-2</v>
      </c>
    </row>
    <row r="1674" spans="2:11" x14ac:dyDescent="0.35">
      <c r="B1674" t="str">
        <f t="shared" si="1028"/>
        <v>SPS4</v>
      </c>
      <c r="C1674" t="str">
        <f t="shared" si="1019"/>
        <v>CH</v>
      </c>
      <c r="D1674" t="s">
        <v>1688</v>
      </c>
      <c r="E1674" t="s">
        <v>1230</v>
      </c>
      <c r="F1674" s="7">
        <f>IFERROR(F1663/F1641,"-")</f>
        <v>1.6704032219401289E-2</v>
      </c>
      <c r="G1674" s="7">
        <f t="shared" ref="G1674:K1674" si="1035">IFERROR(G1663/G1641,"-")</f>
        <v>1.6704032219401296E-2</v>
      </c>
      <c r="H1674" s="7">
        <f t="shared" si="1035"/>
        <v>1.6704032219401303E-2</v>
      </c>
      <c r="I1674" s="7">
        <f t="shared" si="1035"/>
        <v>1.6704032219401282E-2</v>
      </c>
      <c r="J1674" s="7">
        <f t="shared" si="1035"/>
        <v>1.6704032219401307E-2</v>
      </c>
      <c r="K1674" s="7">
        <f t="shared" si="1035"/>
        <v>1.6704032219401272E-2</v>
      </c>
    </row>
    <row r="1675" spans="2:11" x14ac:dyDescent="0.35">
      <c r="B1675" t="str">
        <f t="shared" si="1028"/>
        <v>SPS4</v>
      </c>
      <c r="C1675" t="str">
        <f t="shared" si="1019"/>
        <v>CH</v>
      </c>
      <c r="D1675" t="s">
        <v>1689</v>
      </c>
      <c r="E1675" t="s">
        <v>240</v>
      </c>
      <c r="F1675" t="str">
        <f>IFERROR(F1664/F1642,"-")</f>
        <v>-</v>
      </c>
      <c r="G1675">
        <f t="shared" ref="G1675:K1675" si="1036">IFERROR(G1664/G1642,"-")</f>
        <v>2.4673913043478271</v>
      </c>
      <c r="H1675">
        <f t="shared" si="1036"/>
        <v>2.4673913043478337</v>
      </c>
      <c r="I1675">
        <f t="shared" si="1036"/>
        <v>2.4673913043478404</v>
      </c>
      <c r="J1675">
        <f t="shared" si="1036"/>
        <v>2.4673913043478226</v>
      </c>
      <c r="K1675">
        <f t="shared" si="1036"/>
        <v>2.4673913043478328</v>
      </c>
    </row>
    <row r="1676" spans="2:11" x14ac:dyDescent="0.35">
      <c r="B1676" t="str">
        <f t="shared" si="1028"/>
        <v>SPS4</v>
      </c>
      <c r="C1676" t="str">
        <f t="shared" si="1019"/>
        <v>CH</v>
      </c>
      <c r="D1676" t="s">
        <v>1690</v>
      </c>
      <c r="E1676" t="s">
        <v>1230</v>
      </c>
      <c r="F1676" t="str">
        <f>IFERROR(F1665/F1644,"-")</f>
        <v>-</v>
      </c>
      <c r="G1676" t="str">
        <f t="shared" ref="G1676:K1676" si="1037">IFERROR(G1665/G1644,"-")</f>
        <v>-</v>
      </c>
      <c r="H1676" t="str">
        <f t="shared" si="1037"/>
        <v>-</v>
      </c>
      <c r="I1676" t="str">
        <f t="shared" si="1037"/>
        <v>-</v>
      </c>
      <c r="J1676">
        <f t="shared" si="1037"/>
        <v>1.7941883805152249E-2</v>
      </c>
      <c r="K1676">
        <f t="shared" si="1037"/>
        <v>1.9320077379362394E-2</v>
      </c>
    </row>
    <row r="1677" spans="2:11" x14ac:dyDescent="0.35">
      <c r="B1677" t="str">
        <f t="shared" si="1028"/>
        <v>SPS4</v>
      </c>
      <c r="C1677" t="str">
        <f t="shared" si="1019"/>
        <v>CH</v>
      </c>
      <c r="D1677" t="s">
        <v>1691</v>
      </c>
      <c r="E1677" t="s">
        <v>1230</v>
      </c>
      <c r="F1677" t="str">
        <f>IFERROR(F1666/F1645,"-")</f>
        <v>-</v>
      </c>
      <c r="G1677" t="str">
        <f t="shared" ref="G1677:K1677" si="1038">IFERROR(G1666/G1645,"-")</f>
        <v>-</v>
      </c>
      <c r="H1677" t="str">
        <f t="shared" si="1038"/>
        <v>-</v>
      </c>
      <c r="I1677" t="str">
        <f t="shared" si="1038"/>
        <v>-</v>
      </c>
      <c r="J1677">
        <f t="shared" si="1038"/>
        <v>7.2968729943651599E-3</v>
      </c>
      <c r="K1677">
        <f t="shared" si="1038"/>
        <v>5.9340998257273641E-3</v>
      </c>
    </row>
    <row r="1678" spans="2:11" x14ac:dyDescent="0.35">
      <c r="B1678" t="str">
        <f t="shared" si="1028"/>
        <v>SPS4</v>
      </c>
      <c r="C1678" t="str">
        <f t="shared" si="1019"/>
        <v>CH</v>
      </c>
      <c r="D1678" t="s">
        <v>1692</v>
      </c>
      <c r="E1678" t="s">
        <v>240</v>
      </c>
      <c r="F1678" t="str">
        <f>IFERROR(F1667/F1646,"-")</f>
        <v>-</v>
      </c>
      <c r="G1678" t="str">
        <f t="shared" ref="G1678:K1678" si="1039">IFERROR(G1667/G1646,"-")</f>
        <v>-</v>
      </c>
      <c r="H1678" t="str">
        <f t="shared" si="1039"/>
        <v>-</v>
      </c>
      <c r="I1678" t="str">
        <f t="shared" si="1039"/>
        <v>-</v>
      </c>
      <c r="J1678">
        <f t="shared" si="1039"/>
        <v>1.7934782608695716</v>
      </c>
      <c r="K1678">
        <f t="shared" si="1039"/>
        <v>1.7934782608695732</v>
      </c>
    </row>
    <row r="1679" spans="2:11" x14ac:dyDescent="0.35">
      <c r="B1679" t="str">
        <f t="shared" si="1028"/>
        <v>SPS4</v>
      </c>
      <c r="C1679" t="str">
        <f t="shared" si="1019"/>
        <v>CH</v>
      </c>
      <c r="D1679" t="s">
        <v>1693</v>
      </c>
      <c r="E1679" t="s">
        <v>240</v>
      </c>
      <c r="F1679" s="4">
        <f>IFERROR(F1668/F1652,"-")</f>
        <v>0.90641226905247907</v>
      </c>
      <c r="G1679" s="4">
        <f t="shared" ref="G1679:K1679" si="1040">IFERROR(G1668/G1652,"-")</f>
        <v>0.90641226905247974</v>
      </c>
      <c r="H1679" s="4">
        <f t="shared" si="1040"/>
        <v>0.90641226905247863</v>
      </c>
      <c r="I1679" s="4">
        <f t="shared" si="1040"/>
        <v>0.90641226905248418</v>
      </c>
      <c r="J1679" s="4">
        <f t="shared" si="1040"/>
        <v>0.90641226905247552</v>
      </c>
      <c r="K1679" s="4" t="str">
        <f t="shared" si="1040"/>
        <v>-</v>
      </c>
    </row>
    <row r="1680" spans="2:11" x14ac:dyDescent="0.35">
      <c r="B1680" t="str">
        <f t="shared" si="1028"/>
        <v>SPS4</v>
      </c>
      <c r="C1680" t="str">
        <f t="shared" si="1019"/>
        <v>CH</v>
      </c>
      <c r="D1680" t="s">
        <v>1694</v>
      </c>
      <c r="E1680" t="s">
        <v>1230</v>
      </c>
      <c r="F1680" t="str">
        <f>IFERROR(F1669/F1658,"-")</f>
        <v>-</v>
      </c>
      <c r="G1680" t="str">
        <f t="shared" ref="G1680:K1682" si="1041">IFERROR(G1669/G1658,"-")</f>
        <v>-</v>
      </c>
      <c r="H1680" t="str">
        <f t="shared" si="1041"/>
        <v>-</v>
      </c>
      <c r="I1680" t="str">
        <f t="shared" si="1041"/>
        <v>-</v>
      </c>
      <c r="J1680" t="str">
        <f t="shared" si="1041"/>
        <v>-</v>
      </c>
      <c r="K1680" t="str">
        <f t="shared" si="1041"/>
        <v>-</v>
      </c>
    </row>
    <row r="1681" spans="2:11" x14ac:dyDescent="0.35">
      <c r="B1681" t="str">
        <f t="shared" si="1028"/>
        <v>SPS4</v>
      </c>
      <c r="C1681" t="str">
        <f t="shared" si="1019"/>
        <v>CH</v>
      </c>
      <c r="D1681" t="s">
        <v>1695</v>
      </c>
      <c r="E1681" t="s">
        <v>1230</v>
      </c>
      <c r="F1681" s="1">
        <f>IFERROR(F1670/F1659,"-")</f>
        <v>4.0530738867855069E-3</v>
      </c>
      <c r="G1681" s="1">
        <f t="shared" si="1041"/>
        <v>4.0530738867855113E-3</v>
      </c>
      <c r="H1681">
        <f t="shared" si="1041"/>
        <v>4.053073886785513E-3</v>
      </c>
      <c r="I1681">
        <f t="shared" si="1041"/>
        <v>4.0530738867855104E-3</v>
      </c>
      <c r="J1681">
        <f t="shared" si="1041"/>
        <v>4.0530738867855087E-3</v>
      </c>
      <c r="K1681">
        <f t="shared" si="1041"/>
        <v>4.0530738867855078E-3</v>
      </c>
    </row>
    <row r="1682" spans="2:11" x14ac:dyDescent="0.35">
      <c r="B1682" t="str">
        <f t="shared" si="1028"/>
        <v>SPS4</v>
      </c>
      <c r="C1682" t="str">
        <f t="shared" si="1019"/>
        <v>CH</v>
      </c>
      <c r="D1682" t="s">
        <v>1696</v>
      </c>
      <c r="E1682" t="s">
        <v>240</v>
      </c>
      <c r="F1682" s="4">
        <f>IFERROR(F1671/F1660,"-")</f>
        <v>0.98826978015125178</v>
      </c>
      <c r="G1682" s="4">
        <f t="shared" si="1041"/>
        <v>0.98826978015125455</v>
      </c>
      <c r="H1682" s="4">
        <f t="shared" si="1041"/>
        <v>0.988269780151248</v>
      </c>
      <c r="I1682" s="4">
        <f t="shared" si="1041"/>
        <v>0.98826978015124411</v>
      </c>
      <c r="J1682" s="4">
        <f t="shared" si="1041"/>
        <v>0.98826978015125178</v>
      </c>
      <c r="K1682" s="4">
        <f t="shared" si="1041"/>
        <v>0.98826978015124745</v>
      </c>
    </row>
    <row r="1683" spans="2:11" x14ac:dyDescent="0.35">
      <c r="B1683" s="2" t="str">
        <f t="shared" si="1028"/>
        <v>SPS4</v>
      </c>
      <c r="C1683" s="2" t="str">
        <f>C1682</f>
        <v>CH</v>
      </c>
      <c r="D1683" s="2" t="s">
        <v>1702</v>
      </c>
      <c r="E1683" s="2" t="s">
        <v>442</v>
      </c>
      <c r="F1683" s="3">
        <f>SUM(F1684:F1686,F1689:F1691,-F1696)</f>
        <v>34.612672123117079</v>
      </c>
      <c r="G1683" s="3">
        <f t="shared" ref="G1683:K1683" si="1042">SUM(G1684:G1686,G1689:G1691,-G1696)</f>
        <v>32.415481627626249</v>
      </c>
      <c r="H1683" s="3">
        <f t="shared" si="1042"/>
        <v>30.509862147125226</v>
      </c>
      <c r="I1683" s="3">
        <f t="shared" si="1042"/>
        <v>25.07266497077773</v>
      </c>
      <c r="J1683" s="3">
        <f t="shared" si="1042"/>
        <v>19.464876494937712</v>
      </c>
      <c r="K1683" s="3">
        <f t="shared" si="1042"/>
        <v>17.289731624162783</v>
      </c>
    </row>
    <row r="1684" spans="2:11" x14ac:dyDescent="0.35">
      <c r="B1684" t="str">
        <f t="shared" si="1028"/>
        <v>SPS4</v>
      </c>
      <c r="C1684" t="str">
        <f t="shared" ref="C1684" si="1043">C1683</f>
        <v>CH</v>
      </c>
      <c r="D1684" t="s">
        <v>1703</v>
      </c>
      <c r="E1684" t="str">
        <f>E1683</f>
        <v>Mt/yr.</v>
      </c>
      <c r="F1684" s="1">
        <f>[1]Summary!B53+[1]Summary!B59</f>
        <v>2.6045366315457912</v>
      </c>
      <c r="G1684" s="1">
        <f>[1]Summary!C53+[1]Summary!C59</f>
        <v>2.4334900263301869</v>
      </c>
      <c r="H1684" s="1">
        <f>[1]Summary!D53+[1]Summary!D59</f>
        <v>2.3284747845616978</v>
      </c>
      <c r="I1684" s="1">
        <f>[1]Summary!E53+[1]Summary!E59</f>
        <v>2.413347672879766</v>
      </c>
      <c r="J1684" s="1">
        <f>[1]Summary!F53+[1]Summary!F59</f>
        <v>2.5914163216584516</v>
      </c>
      <c r="K1684" s="1">
        <f>[1]Summary!G53+[1]Summary!G59</f>
        <v>3.3298485149592643</v>
      </c>
    </row>
    <row r="1685" spans="2:11" x14ac:dyDescent="0.35">
      <c r="B1685" t="str">
        <f t="shared" si="1028"/>
        <v>SPS4</v>
      </c>
      <c r="C1685" t="str">
        <f t="shared" ref="C1685:C1696" si="1044">C1684</f>
        <v>CH</v>
      </c>
      <c r="D1685" t="s">
        <v>1704</v>
      </c>
      <c r="E1685" t="str">
        <f t="shared" ref="E1685:E1696" si="1045">E1684</f>
        <v>Mt/yr.</v>
      </c>
      <c r="F1685" s="1">
        <f>[1]Summary!B54+[1]Summary!B61</f>
        <v>0</v>
      </c>
      <c r="G1685" s="1">
        <f>[1]Summary!C54+[1]Summary!C61</f>
        <v>0</v>
      </c>
      <c r="H1685" s="1">
        <f>[1]Summary!D54+[1]Summary!D61</f>
        <v>0</v>
      </c>
      <c r="I1685" s="1">
        <f>[1]Summary!E54+[1]Summary!E61</f>
        <v>0</v>
      </c>
      <c r="J1685" s="1">
        <f>[1]Summary!F54+[1]Summary!F61</f>
        <v>0</v>
      </c>
      <c r="K1685" s="1">
        <f>[1]Summary!G54+[1]Summary!G61+[1]Summary!G62</f>
        <v>0</v>
      </c>
    </row>
    <row r="1686" spans="2:11" x14ac:dyDescent="0.35">
      <c r="B1686" t="str">
        <f t="shared" si="1028"/>
        <v>SPS4</v>
      </c>
      <c r="C1686" t="str">
        <f t="shared" si="1044"/>
        <v>CH</v>
      </c>
      <c r="D1686" t="s">
        <v>1705</v>
      </c>
      <c r="E1686" t="str">
        <f t="shared" si="1045"/>
        <v>Mt/yr.</v>
      </c>
      <c r="F1686" s="1">
        <f>[1]Summary!B55+[1]Summary!B60</f>
        <v>6.4920109235067471</v>
      </c>
      <c r="G1686" s="1">
        <f>[1]Summary!C55+[1]Summary!C60</f>
        <v>6.0893848645600075</v>
      </c>
      <c r="H1686" s="1">
        <f>[1]Summary!D55+[1]Summary!D60</f>
        <v>5.8807466319315598</v>
      </c>
      <c r="I1686" s="1">
        <f>[1]Summary!E55+[1]Summary!E60</f>
        <v>5.2985549296245669</v>
      </c>
      <c r="J1686" s="1">
        <f>[1]Summary!F55+[1]Summary!F60</f>
        <v>4.6508834665594065</v>
      </c>
      <c r="K1686" s="1">
        <f>[1]Summary!G55+[1]Summary!G60</f>
        <v>4.1012610843129869</v>
      </c>
    </row>
    <row r="1687" spans="2:11" x14ac:dyDescent="0.35">
      <c r="B1687" t="str">
        <f t="shared" si="1028"/>
        <v>SPS4</v>
      </c>
      <c r="C1687" t="str">
        <f t="shared" si="1044"/>
        <v>CH</v>
      </c>
      <c r="D1687" t="s">
        <v>1715</v>
      </c>
      <c r="E1687" t="str">
        <f t="shared" si="1045"/>
        <v>Mt/yr.</v>
      </c>
      <c r="F1687" s="1">
        <f>F1686-F1688</f>
        <v>4.4026641230221077</v>
      </c>
      <c r="G1687" s="1">
        <f t="shared" ref="G1687:K1687" si="1046">G1686-G1688</f>
        <v>3.9783716946859271</v>
      </c>
      <c r="H1687" s="1">
        <f t="shared" si="1046"/>
        <v>3.7784771608702998</v>
      </c>
      <c r="I1687" s="1">
        <f t="shared" si="1046"/>
        <v>3.204897867211927</v>
      </c>
      <c r="J1687" s="1">
        <f t="shared" si="1046"/>
        <v>2.5734706194330963</v>
      </c>
      <c r="K1687" s="1">
        <f t="shared" si="1046"/>
        <v>2.0375125280579969</v>
      </c>
    </row>
    <row r="1688" spans="2:11" x14ac:dyDescent="0.35">
      <c r="B1688" t="str">
        <f t="shared" si="1028"/>
        <v>SPS4</v>
      </c>
      <c r="C1688" t="str">
        <f t="shared" si="1044"/>
        <v>CH</v>
      </c>
      <c r="D1688" t="s">
        <v>1714</v>
      </c>
      <c r="E1688" t="str">
        <f t="shared" si="1045"/>
        <v>Mt/yr.</v>
      </c>
      <c r="F1688" s="1" cm="1">
        <f t="array" ref="F1688">SUMPRODUCT(ISNUMBER(SEARCH("processco2",[1]OUT_CO2_emissions!$D$3:$D$1000))*1,("var_fout"=[1]OUT_CO2_emissions!$C$3:$C$1000)*1,("CO2"=[1]OUT_CO2_emissions!$B$3:$B$1000)*1,[1]OUT_CO2_emissions!E$3:E$1000)/1000</f>
        <v>2.0893468004846398</v>
      </c>
      <c r="G1688" s="1" cm="1">
        <f t="array" ref="G1688">SUMPRODUCT(ISNUMBER(SEARCH("processco2",[1]OUT_CO2_emissions!$D$3:$D$1000))*1,("var_fout"=[1]OUT_CO2_emissions!$C$3:$C$1000)*1,("CO2"=[1]OUT_CO2_emissions!$B$3:$B$1000)*1,[1]OUT_CO2_emissions!F$3:F$1000)/1000</f>
        <v>2.1110131698740804</v>
      </c>
      <c r="H1688" s="1" cm="1">
        <f t="array" ref="H1688">SUMPRODUCT(ISNUMBER(SEARCH("processco2",[1]OUT_CO2_emissions!$D$3:$D$1000))*1,("var_fout"=[1]OUT_CO2_emissions!$C$3:$C$1000)*1,("CO2"=[1]OUT_CO2_emissions!$B$3:$B$1000)*1,[1]OUT_CO2_emissions!G$3:G$1000)/1000</f>
        <v>2.1022694710612599</v>
      </c>
      <c r="I1688" s="1" cm="1">
        <f t="array" ref="I1688">SUMPRODUCT(ISNUMBER(SEARCH("processco2",[1]OUT_CO2_emissions!$D$3:$D$1000))*1,("var_fout"=[1]OUT_CO2_emissions!$C$3:$C$1000)*1,("CO2"=[1]OUT_CO2_emissions!$B$3:$B$1000)*1,[1]OUT_CO2_emissions!H$3:H$1000)/1000</f>
        <v>2.0936570624126398</v>
      </c>
      <c r="J1688" s="1" cm="1">
        <f t="array" ref="J1688">SUMPRODUCT(ISNUMBER(SEARCH("processco2",[1]OUT_CO2_emissions!$D$3:$D$1000))*1,("var_fout"=[1]OUT_CO2_emissions!$C$3:$C$1000)*1,("CO2"=[1]OUT_CO2_emissions!$B$3:$B$1000)*1,[1]OUT_CO2_emissions!I$3:I$1000)/1000</f>
        <v>2.0774128471263102</v>
      </c>
      <c r="K1688" s="1" cm="1">
        <f t="array" ref="K1688">SUMPRODUCT(ISNUMBER(SEARCH("processco2",[1]OUT_CO2_emissions!$D$3:$D$1000))*1,("var_fout"=[1]OUT_CO2_emissions!$C$3:$C$1000)*1,("CO2"=[1]OUT_CO2_emissions!$B$3:$B$1000)*1,[1]OUT_CO2_emissions!J$3:J$1000)/1000</f>
        <v>2.06374855625499</v>
      </c>
    </row>
    <row r="1689" spans="2:11" x14ac:dyDescent="0.35">
      <c r="B1689" t="str">
        <f t="shared" si="1028"/>
        <v>SPS4</v>
      </c>
      <c r="C1689" t="str">
        <f t="shared" si="1044"/>
        <v>CH</v>
      </c>
      <c r="D1689" t="s">
        <v>1706</v>
      </c>
      <c r="E1689" t="str">
        <f t="shared" si="1045"/>
        <v>Mt/yr.</v>
      </c>
      <c r="F1689" s="1">
        <f>[1]Summary!B56</f>
        <v>3.7901086840687901</v>
      </c>
      <c r="G1689" s="1">
        <f>[1]Summary!C56</f>
        <v>3.5039110080398101</v>
      </c>
      <c r="H1689" s="1">
        <f>[1]Summary!D56</f>
        <v>3.3547968502658598</v>
      </c>
      <c r="I1689" s="1">
        <f>[1]Summary!E56</f>
        <v>2.7332910240425501</v>
      </c>
      <c r="J1689" s="1">
        <f>[1]Summary!F56</f>
        <v>1.8838469845361501</v>
      </c>
      <c r="K1689" s="1">
        <f>[1]Summary!G56</f>
        <v>1.6481252891159741</v>
      </c>
    </row>
    <row r="1690" spans="2:11" x14ac:dyDescent="0.35">
      <c r="B1690" t="str">
        <f t="shared" si="1028"/>
        <v>SPS4</v>
      </c>
      <c r="C1690" t="str">
        <f t="shared" si="1044"/>
        <v>CH</v>
      </c>
      <c r="D1690" t="s">
        <v>1707</v>
      </c>
      <c r="E1690" t="str">
        <f t="shared" si="1045"/>
        <v>Mt/yr.</v>
      </c>
      <c r="F1690" s="1">
        <f>[1]Summary!B57</f>
        <v>7.1756184269222194</v>
      </c>
      <c r="G1690" s="1">
        <f>[1]Summary!C57</f>
        <v>6.4694730826161706</v>
      </c>
      <c r="H1690" s="1">
        <f>[1]Summary!D57</f>
        <v>6.4209899964954218</v>
      </c>
      <c r="I1690" s="1">
        <f>[1]Summary!E57</f>
        <v>5.0487432045636975</v>
      </c>
      <c r="J1690" s="1">
        <f>[1]Summary!F57</f>
        <v>3.8697324957539605</v>
      </c>
      <c r="K1690" s="1">
        <f>[1]Summary!G57</f>
        <v>2.5562134089138207</v>
      </c>
    </row>
    <row r="1691" spans="2:11" x14ac:dyDescent="0.35">
      <c r="B1691" t="str">
        <f t="shared" si="1028"/>
        <v>SPS4</v>
      </c>
      <c r="C1691" t="str">
        <f t="shared" si="1044"/>
        <v>CH</v>
      </c>
      <c r="D1691" t="s">
        <v>1708</v>
      </c>
      <c r="E1691" t="str">
        <f t="shared" si="1045"/>
        <v>Mt/yr.</v>
      </c>
      <c r="F1691" s="1">
        <f>[1]Summary!B58</f>
        <v>14.550397457073529</v>
      </c>
      <c r="G1691" s="1">
        <f>[1]Summary!C58</f>
        <v>13.919222646080076</v>
      </c>
      <c r="H1691" s="1">
        <f>[1]Summary!D58</f>
        <v>12.524853883870687</v>
      </c>
      <c r="I1691" s="1">
        <f>[1]Summary!E58</f>
        <v>9.5787281396671506</v>
      </c>
      <c r="J1691" s="1">
        <f>[1]Summary!F58</f>
        <v>6.4689972264297415</v>
      </c>
      <c r="K1691" s="1">
        <f>[1]Summary!G58</f>
        <v>5.654283326860738</v>
      </c>
    </row>
    <row r="1692" spans="2:11" x14ac:dyDescent="0.35">
      <c r="B1692" t="str">
        <f t="shared" si="1028"/>
        <v>SPS4</v>
      </c>
      <c r="C1692" t="str">
        <f t="shared" si="1044"/>
        <v>CH</v>
      </c>
      <c r="D1692" t="s">
        <v>1709</v>
      </c>
      <c r="E1692" t="str">
        <f t="shared" si="1045"/>
        <v>Mt/yr.</v>
      </c>
      <c r="F1692" s="1">
        <f>-[1]Summary!B59</f>
        <v>0</v>
      </c>
      <c r="G1692" s="1">
        <f>-[1]Summary!C59</f>
        <v>0</v>
      </c>
      <c r="H1692" s="1">
        <f>-[1]Summary!D59</f>
        <v>0</v>
      </c>
      <c r="I1692" s="1">
        <f>-[1]Summary!E59</f>
        <v>0</v>
      </c>
      <c r="J1692" s="1">
        <f>-[1]Summary!F59</f>
        <v>0</v>
      </c>
      <c r="K1692" s="1">
        <f>-[1]Summary!G59</f>
        <v>0</v>
      </c>
    </row>
    <row r="1693" spans="2:11" x14ac:dyDescent="0.35">
      <c r="B1693" t="str">
        <f t="shared" si="1028"/>
        <v>SPS4</v>
      </c>
      <c r="C1693" t="str">
        <f t="shared" si="1044"/>
        <v>CH</v>
      </c>
      <c r="D1693" t="s">
        <v>1710</v>
      </c>
      <c r="E1693" t="str">
        <f t="shared" si="1045"/>
        <v>Mt/yr.</v>
      </c>
      <c r="F1693" s="1">
        <f>-[1]Summary!B60</f>
        <v>0</v>
      </c>
      <c r="G1693" s="1">
        <f>-[1]Summary!C60</f>
        <v>0</v>
      </c>
      <c r="H1693" s="1">
        <f>-[1]Summary!D60</f>
        <v>0</v>
      </c>
      <c r="I1693" s="1">
        <f>-[1]Summary!E60</f>
        <v>0</v>
      </c>
      <c r="J1693" s="1">
        <f>-[1]Summary!F60</f>
        <v>0</v>
      </c>
      <c r="K1693" s="1">
        <f>-[1]Summary!G60</f>
        <v>0</v>
      </c>
    </row>
    <row r="1694" spans="2:11" x14ac:dyDescent="0.35">
      <c r="B1694" t="str">
        <f t="shared" si="1028"/>
        <v>SPS4</v>
      </c>
      <c r="C1694" t="str">
        <f t="shared" si="1044"/>
        <v>CH</v>
      </c>
      <c r="D1694" t="s">
        <v>1711</v>
      </c>
      <c r="E1694" t="str">
        <f t="shared" si="1045"/>
        <v>Mt/yr.</v>
      </c>
      <c r="F1694" s="1">
        <f>-[1]Summary!B61</f>
        <v>0</v>
      </c>
      <c r="G1694" s="1">
        <f>-[1]Summary!C61</f>
        <v>0</v>
      </c>
      <c r="H1694" s="1">
        <f>-[1]Summary!D61</f>
        <v>0</v>
      </c>
      <c r="I1694" s="1">
        <f>-[1]Summary!E61</f>
        <v>0</v>
      </c>
      <c r="J1694" s="1">
        <f>-[1]Summary!F61</f>
        <v>0</v>
      </c>
      <c r="K1694" s="1">
        <f>-[1]Summary!G61</f>
        <v>0</v>
      </c>
    </row>
    <row r="1695" spans="2:11" x14ac:dyDescent="0.35">
      <c r="B1695" t="str">
        <f t="shared" si="1028"/>
        <v>SPS4</v>
      </c>
      <c r="C1695" t="str">
        <f t="shared" si="1044"/>
        <v>CH</v>
      </c>
      <c r="D1695" t="s">
        <v>1712</v>
      </c>
      <c r="E1695" t="str">
        <f t="shared" si="1045"/>
        <v>Mt/yr.</v>
      </c>
      <c r="F1695" s="1">
        <f>-[1]Summary!B62</f>
        <v>0</v>
      </c>
      <c r="G1695" s="1">
        <f>-[1]Summary!C62</f>
        <v>0</v>
      </c>
      <c r="H1695" s="1">
        <f>-[1]Summary!D62</f>
        <v>0</v>
      </c>
      <c r="I1695" s="1">
        <f>-[1]Summary!E62</f>
        <v>0</v>
      </c>
      <c r="J1695" s="1">
        <f>-[1]Summary!F62</f>
        <v>0</v>
      </c>
      <c r="K1695" s="1">
        <f>-[1]Summary!G62</f>
        <v>0</v>
      </c>
    </row>
    <row r="1696" spans="2:11" x14ac:dyDescent="0.35">
      <c r="B1696" t="str">
        <f t="shared" si="1028"/>
        <v>SPS4</v>
      </c>
      <c r="C1696" t="str">
        <f t="shared" si="1044"/>
        <v>CH</v>
      </c>
      <c r="D1696" t="s">
        <v>1713</v>
      </c>
      <c r="E1696" t="str">
        <f t="shared" si="1045"/>
        <v>Mt/yr.</v>
      </c>
      <c r="F1696" s="1">
        <f>-[1]Summary!B63</f>
        <v>0</v>
      </c>
      <c r="G1696" s="1">
        <f>-[1]Summary!C63</f>
        <v>0</v>
      </c>
      <c r="H1696" s="1">
        <f>-[1]Summary!D63</f>
        <v>0</v>
      </c>
      <c r="I1696" s="1">
        <f>-[1]Summary!E63</f>
        <v>0</v>
      </c>
      <c r="J1696" s="1">
        <f>-[1]Summary!F63</f>
        <v>0</v>
      </c>
      <c r="K1696" s="1">
        <f>-[1]Summary!G63</f>
        <v>0</v>
      </c>
    </row>
    <row r="1697" spans="2:11" x14ac:dyDescent="0.35">
      <c r="B1697" s="2" t="str">
        <f t="shared" si="1028"/>
        <v>SPS4</v>
      </c>
      <c r="C1697" s="2" t="str">
        <f>C1696</f>
        <v>CH</v>
      </c>
      <c r="D1697" s="2" t="s">
        <v>1716</v>
      </c>
      <c r="E1697" s="2" t="s">
        <v>442</v>
      </c>
      <c r="F1697" s="3">
        <f>SUM(F1698:F1700)</f>
        <v>0</v>
      </c>
      <c r="G1697" s="3">
        <f t="shared" ref="G1697:K1697" si="1047">SUM(G1698:G1700)</f>
        <v>0</v>
      </c>
      <c r="H1697" s="3">
        <f t="shared" si="1047"/>
        <v>0</v>
      </c>
      <c r="I1697" s="3">
        <f t="shared" si="1047"/>
        <v>0</v>
      </c>
      <c r="J1697" s="3">
        <f t="shared" si="1047"/>
        <v>0</v>
      </c>
      <c r="K1697" s="3">
        <f t="shared" si="1047"/>
        <v>0</v>
      </c>
    </row>
    <row r="1698" spans="2:11" x14ac:dyDescent="0.35">
      <c r="B1698" t="str">
        <f t="shared" si="1028"/>
        <v>SPS4</v>
      </c>
      <c r="C1698" t="str">
        <f>C1697</f>
        <v>CH</v>
      </c>
      <c r="D1698" t="s">
        <v>1717</v>
      </c>
      <c r="E1698" t="str">
        <f>E1697</f>
        <v>Mt/yr.</v>
      </c>
      <c r="F1698" s="1">
        <v>0</v>
      </c>
      <c r="G1698" s="1">
        <v>0</v>
      </c>
      <c r="H1698" s="1">
        <v>0</v>
      </c>
      <c r="I1698" s="1">
        <v>0</v>
      </c>
      <c r="J1698" s="1">
        <f>[1]Summary!B$77</f>
        <v>0</v>
      </c>
      <c r="K1698" s="1">
        <f>[1]Summary!C$77</f>
        <v>0</v>
      </c>
    </row>
    <row r="1699" spans="2:11" x14ac:dyDescent="0.35">
      <c r="B1699" t="str">
        <f t="shared" si="1028"/>
        <v>SPS4</v>
      </c>
      <c r="C1699" t="str">
        <f t="shared" ref="C1699:C1700" si="1048">C1698</f>
        <v>CH</v>
      </c>
      <c r="D1699" t="s">
        <v>1718</v>
      </c>
      <c r="E1699" t="str">
        <f>E1698</f>
        <v>Mt/yr.</v>
      </c>
      <c r="F1699" s="1">
        <v>0</v>
      </c>
      <c r="G1699" s="1">
        <v>0</v>
      </c>
      <c r="H1699" s="1">
        <v>0</v>
      </c>
      <c r="I1699" s="1">
        <v>0</v>
      </c>
      <c r="J1699" s="1">
        <f>[1]Summary!B$78</f>
        <v>0</v>
      </c>
      <c r="K1699" s="1">
        <f>[1]Summary!C$78</f>
        <v>0</v>
      </c>
    </row>
    <row r="1700" spans="2:11" x14ac:dyDescent="0.35">
      <c r="B1700" t="str">
        <f t="shared" si="1028"/>
        <v>SPS4</v>
      </c>
      <c r="C1700" t="str">
        <f t="shared" si="1048"/>
        <v>CH</v>
      </c>
      <c r="D1700" t="s">
        <v>1719</v>
      </c>
      <c r="E1700" t="str">
        <f>E1699</f>
        <v>Mt/yr.</v>
      </c>
      <c r="F1700" s="1">
        <v>0</v>
      </c>
      <c r="G1700" s="1">
        <v>0</v>
      </c>
      <c r="H1700" s="1">
        <v>0</v>
      </c>
      <c r="I1700" s="1">
        <v>0</v>
      </c>
      <c r="J1700" s="1">
        <f>[1]Summary!B$79</f>
        <v>0</v>
      </c>
      <c r="K1700" s="1">
        <f>[1]Summary!C$79</f>
        <v>0</v>
      </c>
    </row>
    <row r="1701" spans="2:11" x14ac:dyDescent="0.35">
      <c r="B1701" s="2" t="str">
        <f t="shared" si="1028"/>
        <v>SPS4</v>
      </c>
      <c r="C1701" s="2" t="str">
        <f t="shared" ref="C1701:C1706" si="1049">C1700</f>
        <v>CH</v>
      </c>
      <c r="D1701" s="2" t="s">
        <v>1721</v>
      </c>
      <c r="E1701" s="21" t="s">
        <v>292</v>
      </c>
      <c r="F1701" s="21" t="s">
        <v>292</v>
      </c>
      <c r="G1701" s="21" t="s">
        <v>292</v>
      </c>
      <c r="H1701" s="21" t="s">
        <v>292</v>
      </c>
      <c r="I1701" s="21" t="s">
        <v>292</v>
      </c>
      <c r="J1701" s="21" t="s">
        <v>292</v>
      </c>
      <c r="K1701" s="21" t="s">
        <v>292</v>
      </c>
    </row>
    <row r="1702" spans="2:11" x14ac:dyDescent="0.35">
      <c r="B1702" t="str">
        <f t="shared" si="1028"/>
        <v>SPS4</v>
      </c>
      <c r="C1702" t="str">
        <f t="shared" si="1049"/>
        <v>CH</v>
      </c>
      <c r="D1702" t="s">
        <v>1724</v>
      </c>
      <c r="E1702" t="s">
        <v>8</v>
      </c>
      <c r="F1702" s="1">
        <f>SUM(F1703:F1704)</f>
        <v>0</v>
      </c>
      <c r="G1702" s="1">
        <f t="shared" ref="G1702:K1702" si="1050">SUM(G1703:G1704)</f>
        <v>0</v>
      </c>
      <c r="H1702" s="1">
        <f t="shared" si="1050"/>
        <v>0</v>
      </c>
      <c r="I1702" s="1">
        <f t="shared" si="1050"/>
        <v>0</v>
      </c>
      <c r="J1702" s="1">
        <f t="shared" si="1050"/>
        <v>0</v>
      </c>
      <c r="K1702" s="1">
        <f t="shared" si="1050"/>
        <v>0</v>
      </c>
    </row>
    <row r="1703" spans="2:11" x14ac:dyDescent="0.35">
      <c r="B1703" t="str">
        <f t="shared" si="1028"/>
        <v>SPS4</v>
      </c>
      <c r="C1703" t="str">
        <f t="shared" si="1049"/>
        <v>CH</v>
      </c>
      <c r="D1703" t="s">
        <v>1725</v>
      </c>
      <c r="E1703" t="s">
        <v>8</v>
      </c>
      <c r="F1703" s="1" cm="1">
        <f t="array" ref="F1703">SUMPRODUCT(("SUP_DAC"=[1]OUT_SyntheticFuels!$C$1:$C$1000)*1,("Var_Fin"=[1]OUT_SyntheticFuels!$B$1:$B$1000)*1,ISNUMBER(SEARCH("ELC",[1]OUT_SyntheticFuels!$A$1:$A$1000))*1,[1]OUT_SyntheticFuels!E$1:E$1000)</f>
        <v>0</v>
      </c>
      <c r="G1703" s="1" cm="1">
        <f t="array" ref="G1703">SUMPRODUCT(("SUP_DAC"=[1]OUT_SyntheticFuels!$C$1:$C$1000)*1,("Var_Fin"=[1]OUT_SyntheticFuels!$B$1:$B$1000)*1,ISNUMBER(SEARCH("ELC",[1]OUT_SyntheticFuels!$A$1:$A$1000))*1,[1]OUT_SyntheticFuels!F$1:F$1000)</f>
        <v>0</v>
      </c>
      <c r="H1703" s="1" cm="1">
        <f t="array" ref="H1703">SUMPRODUCT(("SUP_DAC"=[1]OUT_SyntheticFuels!$C$1:$C$1000)*1,("Var_Fin"=[1]OUT_SyntheticFuels!$B$1:$B$1000)*1,ISNUMBER(SEARCH("ELC",[1]OUT_SyntheticFuels!$A$1:$A$1000))*1,[1]OUT_SyntheticFuels!G$1:G$1000)</f>
        <v>0</v>
      </c>
      <c r="I1703" s="1" cm="1">
        <f t="array" ref="I1703">SUMPRODUCT(("SUP_DAC"=[1]OUT_SyntheticFuels!$C$1:$C$1000)*1,("Var_Fin"=[1]OUT_SyntheticFuels!$B$1:$B$1000)*1,ISNUMBER(SEARCH("ELC",[1]OUT_SyntheticFuels!$A$1:$A$1000))*1,[1]OUT_SyntheticFuels!H$1:H$1000)</f>
        <v>0</v>
      </c>
      <c r="J1703" s="1" cm="1">
        <f t="array" ref="J1703">SUMPRODUCT(("SUP_DAC"=[1]OUT_SyntheticFuels!$C$1:$C$1000)*1,("Var_Fin"=[1]OUT_SyntheticFuels!$B$1:$B$1000)*1,ISNUMBER(SEARCH("ELC",[1]OUT_SyntheticFuels!$A$1:$A$1000))*1,[1]OUT_SyntheticFuels!I$1:I$1000)</f>
        <v>0</v>
      </c>
      <c r="K1703" s="1" cm="1">
        <f t="array" ref="K1703">SUMPRODUCT(("SUP_DAC"=[1]OUT_SyntheticFuels!$C$1:$C$1000)*1,("Var_Fin"=[1]OUT_SyntheticFuels!$B$1:$B$1000)*1,ISNUMBER(SEARCH("ELC",[1]OUT_SyntheticFuels!$A$1:$A$1000))*1,[1]OUT_SyntheticFuels!J$1:J$1000)</f>
        <v>0</v>
      </c>
    </row>
    <row r="1704" spans="2:11" x14ac:dyDescent="0.35">
      <c r="B1704" t="str">
        <f t="shared" si="1028"/>
        <v>SPS4</v>
      </c>
      <c r="C1704" t="str">
        <f t="shared" si="1049"/>
        <v>CH</v>
      </c>
      <c r="D1704" t="s">
        <v>1726</v>
      </c>
      <c r="E1704" t="s">
        <v>8</v>
      </c>
      <c r="F1704" s="1" cm="1">
        <f t="array" ref="F1704">SUMPRODUCT(("SUP_DAC"=[1]OUT_SyntheticFuels!$C$1:$C$1000)*1,("Var_Fin"=[1]OUT_SyntheticFuels!$B$1:$B$1000)*1,ISNUMBER(SEARCH("HEAT",[1]OUT_SyntheticFuels!$A$1:$A$1000))*1,[1]OUT_SyntheticFuels!E$1:E$1000)</f>
        <v>0</v>
      </c>
      <c r="G1704" s="1" cm="1">
        <f t="array" ref="G1704">SUMPRODUCT(("SUP_DAC"=[1]OUT_SyntheticFuels!$C$1:$C$1000)*1,("Var_Fin"=[1]OUT_SyntheticFuels!$B$1:$B$1000)*1,ISNUMBER(SEARCH("HEAT",[1]OUT_SyntheticFuels!$A$1:$A$1000))*1,[1]OUT_SyntheticFuels!F$1:F$1000)</f>
        <v>0</v>
      </c>
      <c r="H1704" s="1" cm="1">
        <f t="array" ref="H1704">SUMPRODUCT(("SUP_DAC"=[1]OUT_SyntheticFuels!$C$1:$C$1000)*1,("Var_Fin"=[1]OUT_SyntheticFuels!$B$1:$B$1000)*1,ISNUMBER(SEARCH("HEAT",[1]OUT_SyntheticFuels!$A$1:$A$1000))*1,[1]OUT_SyntheticFuels!G$1:G$1000)</f>
        <v>0</v>
      </c>
      <c r="I1704" s="1" cm="1">
        <f t="array" ref="I1704">SUMPRODUCT(("SUP_DAC"=[1]OUT_SyntheticFuels!$C$1:$C$1000)*1,("Var_Fin"=[1]OUT_SyntheticFuels!$B$1:$B$1000)*1,ISNUMBER(SEARCH("HEAT",[1]OUT_SyntheticFuels!$A$1:$A$1000))*1,[1]OUT_SyntheticFuels!H$1:H$1000)</f>
        <v>0</v>
      </c>
      <c r="J1704" s="1" cm="1">
        <f t="array" ref="J1704">SUMPRODUCT(("SUP_DAC"=[1]OUT_SyntheticFuels!$C$1:$C$1000)*1,("Var_Fin"=[1]OUT_SyntheticFuels!$B$1:$B$1000)*1,ISNUMBER(SEARCH("HEAT",[1]OUT_SyntheticFuels!$A$1:$A$1000))*1,[1]OUT_SyntheticFuels!I$1:I$1000)</f>
        <v>0</v>
      </c>
      <c r="K1704" s="1" cm="1">
        <f t="array" ref="K1704">SUMPRODUCT(("SUP_DAC"=[1]OUT_SyntheticFuels!$C$1:$C$1000)*1,("Var_Fin"=[1]OUT_SyntheticFuels!$B$1:$B$1000)*1,ISNUMBER(SEARCH("HEAT",[1]OUT_SyntheticFuels!$A$1:$A$1000))*1,[1]OUT_SyntheticFuels!J$1:J$1000)</f>
        <v>0</v>
      </c>
    </row>
    <row r="1705" spans="2:11" x14ac:dyDescent="0.35">
      <c r="B1705" t="str">
        <f t="shared" si="1028"/>
        <v>SPS4</v>
      </c>
      <c r="C1705" t="str">
        <f t="shared" si="1049"/>
        <v>CH</v>
      </c>
      <c r="D1705" t="s">
        <v>1727</v>
      </c>
      <c r="E1705" t="s">
        <v>442</v>
      </c>
      <c r="F1705" s="1">
        <f>F1696</f>
        <v>0</v>
      </c>
      <c r="G1705" s="1">
        <f t="shared" ref="G1705:K1705" si="1051">G1696</f>
        <v>0</v>
      </c>
      <c r="H1705" s="1">
        <f t="shared" si="1051"/>
        <v>0</v>
      </c>
      <c r="I1705" s="1">
        <f t="shared" si="1051"/>
        <v>0</v>
      </c>
      <c r="J1705" s="1">
        <f t="shared" si="1051"/>
        <v>0</v>
      </c>
      <c r="K1705" s="1">
        <f t="shared" si="1051"/>
        <v>0</v>
      </c>
    </row>
    <row r="1706" spans="2:11" x14ac:dyDescent="0.35">
      <c r="B1706" s="2" t="str">
        <f t="shared" si="1028"/>
        <v>SPS4</v>
      </c>
      <c r="C1706" s="2" t="str">
        <f t="shared" si="1049"/>
        <v>CH</v>
      </c>
      <c r="D1706" s="2" t="s">
        <v>1769</v>
      </c>
      <c r="E1706" s="2" t="s">
        <v>8</v>
      </c>
      <c r="F1706" s="3">
        <f>SUM(F1707:F1708,F1725,F1734:F1735,F1736,F1737,F1742,F1745,,F1750:F1753,F1746)</f>
        <v>962.5219435308818</v>
      </c>
      <c r="G1706" s="3">
        <f t="shared" ref="G1706:K1706" si="1052">SUM(G1707:G1708,G1725,G1734:G1735,G1736,G1737,G1742,G1745,,G1750:G1753,G1746)</f>
        <v>960.71259111232757</v>
      </c>
      <c r="H1706" s="3">
        <f t="shared" si="1052"/>
        <v>944.75747633488186</v>
      </c>
      <c r="I1706" s="3">
        <f t="shared" si="1052"/>
        <v>874.46564623323957</v>
      </c>
      <c r="J1706" s="3">
        <f t="shared" si="1052"/>
        <v>755.59895545129075</v>
      </c>
      <c r="K1706" s="3">
        <f t="shared" si="1052"/>
        <v>671.19023027032836</v>
      </c>
    </row>
    <row r="1707" spans="2:11" x14ac:dyDescent="0.35">
      <c r="B1707" t="str">
        <f t="shared" si="1028"/>
        <v>SPS4</v>
      </c>
      <c r="C1707" t="str">
        <f t="shared" ref="C1707" si="1053">C1706</f>
        <v>CH</v>
      </c>
      <c r="D1707" t="s">
        <v>1739</v>
      </c>
      <c r="E1707" t="str">
        <f>E1706</f>
        <v>PJ/yr.</v>
      </c>
      <c r="F1707" s="1">
        <f>F21</f>
        <v>3.6600241734758403</v>
      </c>
      <c r="G1707" s="1">
        <f t="shared" ref="G1707:K1707" si="1054">G21</f>
        <v>3.5647234892238471</v>
      </c>
      <c r="H1707" s="1">
        <f t="shared" si="1054"/>
        <v>3.2533415669808079</v>
      </c>
      <c r="I1707" s="1">
        <f t="shared" si="1054"/>
        <v>6.70593123568595E-3</v>
      </c>
      <c r="J1707" s="1">
        <f t="shared" si="1054"/>
        <v>6.3286740870591672E-4</v>
      </c>
      <c r="K1707" s="1">
        <f t="shared" si="1054"/>
        <v>3.4793620773534078E-4</v>
      </c>
    </row>
    <row r="1708" spans="2:11" x14ac:dyDescent="0.35">
      <c r="B1708" t="str">
        <f t="shared" si="1028"/>
        <v>SPS4</v>
      </c>
      <c r="C1708" t="str">
        <f t="shared" ref="C1708:C1760" si="1055">C1707</f>
        <v>CH</v>
      </c>
      <c r="D1708" t="s">
        <v>1740</v>
      </c>
      <c r="E1708" t="str">
        <f t="shared" ref="E1708:E1736" si="1056">E1707</f>
        <v>PJ/yr.</v>
      </c>
      <c r="F1708" s="1">
        <f t="shared" ref="F1708:K1734" si="1057">F22</f>
        <v>310.65474401768176</v>
      </c>
      <c r="G1708" s="1">
        <f t="shared" si="1057"/>
        <v>287.75900098068024</v>
      </c>
      <c r="H1708" s="1">
        <f t="shared" si="1057"/>
        <v>263.34573368512326</v>
      </c>
      <c r="I1708" s="1">
        <f t="shared" si="1057"/>
        <v>201.77972846296339</v>
      </c>
      <c r="J1708" s="1">
        <f t="shared" si="1057"/>
        <v>131.57516531760621</v>
      </c>
      <c r="K1708" s="1">
        <f t="shared" si="1057"/>
        <v>99.259027665957845</v>
      </c>
    </row>
    <row r="1709" spans="2:11" x14ac:dyDescent="0.35">
      <c r="B1709" t="str">
        <f t="shared" si="1028"/>
        <v>SPS4</v>
      </c>
      <c r="C1709" t="str">
        <f t="shared" si="1055"/>
        <v>CH</v>
      </c>
      <c r="D1709" t="s">
        <v>1741</v>
      </c>
      <c r="E1709" t="str">
        <f t="shared" si="1056"/>
        <v>PJ/yr.</v>
      </c>
      <c r="F1709" s="1">
        <f t="shared" si="1057"/>
        <v>303.87157834790901</v>
      </c>
      <c r="G1709" s="1">
        <f t="shared" si="1057"/>
        <v>280.98436947303992</v>
      </c>
      <c r="H1709" s="1">
        <f t="shared" si="1057"/>
        <v>256.05488205454884</v>
      </c>
      <c r="I1709" s="1">
        <f t="shared" si="1057"/>
        <v>189.96463109648747</v>
      </c>
      <c r="J1709" s="1">
        <f t="shared" si="1057"/>
        <v>119.79584631058583</v>
      </c>
      <c r="K1709" s="1">
        <f t="shared" si="1057"/>
        <v>88.040873976088093</v>
      </c>
    </row>
    <row r="1710" spans="2:11" x14ac:dyDescent="0.35">
      <c r="B1710" t="str">
        <f t="shared" si="1028"/>
        <v>SPS4</v>
      </c>
      <c r="C1710" t="str">
        <f t="shared" si="1055"/>
        <v>CH</v>
      </c>
      <c r="D1710" t="s">
        <v>1742</v>
      </c>
      <c r="E1710" t="str">
        <f t="shared" si="1056"/>
        <v>PJ/yr.</v>
      </c>
      <c r="F1710" s="1">
        <f t="shared" si="1057"/>
        <v>101.74113491404702</v>
      </c>
      <c r="G1710" s="1">
        <f t="shared" si="1057"/>
        <v>88.340537259609377</v>
      </c>
      <c r="H1710" s="1">
        <f t="shared" si="1057"/>
        <v>85.820859997008071</v>
      </c>
      <c r="I1710" s="1">
        <f t="shared" si="1057"/>
        <v>59.651706004086428</v>
      </c>
      <c r="J1710" s="1">
        <f t="shared" si="1057"/>
        <v>31.795463622792941</v>
      </c>
      <c r="K1710" s="1">
        <f t="shared" si="1057"/>
        <v>11.092308530732268</v>
      </c>
    </row>
    <row r="1711" spans="2:11" x14ac:dyDescent="0.35">
      <c r="B1711" t="str">
        <f t="shared" si="1028"/>
        <v>SPS4</v>
      </c>
      <c r="C1711" t="str">
        <f t="shared" si="1055"/>
        <v>CH</v>
      </c>
      <c r="D1711" t="s">
        <v>1743</v>
      </c>
      <c r="E1711" t="str">
        <f t="shared" si="1056"/>
        <v>PJ/yr.</v>
      </c>
      <c r="F1711" s="1">
        <f t="shared" si="1057"/>
        <v>2.7763883742389397</v>
      </c>
      <c r="G1711" s="1">
        <f t="shared" si="1057"/>
        <v>2.6376026654343394</v>
      </c>
      <c r="H1711" s="1">
        <f t="shared" si="1057"/>
        <v>3.277761678168145E-3</v>
      </c>
      <c r="I1711" s="1">
        <f t="shared" si="1057"/>
        <v>5.9545448046794064E-4</v>
      </c>
      <c r="J1711" s="1">
        <f t="shared" si="1057"/>
        <v>7.0543166391569701E-4</v>
      </c>
      <c r="K1711" s="1">
        <f t="shared" si="1057"/>
        <v>0</v>
      </c>
    </row>
    <row r="1712" spans="2:11" x14ac:dyDescent="0.35">
      <c r="B1712" t="str">
        <f t="shared" si="1028"/>
        <v>SPS4</v>
      </c>
      <c r="C1712" t="str">
        <f t="shared" si="1055"/>
        <v>CH</v>
      </c>
      <c r="D1712" t="s">
        <v>1744</v>
      </c>
      <c r="E1712" t="str">
        <f t="shared" si="1056"/>
        <v>PJ/yr.</v>
      </c>
      <c r="F1712" s="1">
        <f t="shared" si="1057"/>
        <v>118.36780382425881</v>
      </c>
      <c r="G1712" s="1">
        <f t="shared" si="1057"/>
        <v>112.68603697773341</v>
      </c>
      <c r="H1712" s="1">
        <f t="shared" si="1057"/>
        <v>96.183442857683474</v>
      </c>
      <c r="I1712" s="1">
        <f t="shared" si="1057"/>
        <v>72.099065027168891</v>
      </c>
      <c r="J1712" s="1">
        <f t="shared" si="1057"/>
        <v>48.979250284617827</v>
      </c>
      <c r="K1712" s="1">
        <f t="shared" si="1057"/>
        <v>48.013921793931999</v>
      </c>
    </row>
    <row r="1713" spans="2:11" x14ac:dyDescent="0.35">
      <c r="B1713" t="str">
        <f t="shared" si="1028"/>
        <v>SPS4</v>
      </c>
      <c r="C1713" t="str">
        <f t="shared" si="1055"/>
        <v>CH</v>
      </c>
      <c r="D1713" t="s">
        <v>1745</v>
      </c>
      <c r="E1713" t="str">
        <f t="shared" si="1056"/>
        <v>PJ/yr.</v>
      </c>
      <c r="F1713" s="1">
        <f t="shared" si="1057"/>
        <v>79.877962118399239</v>
      </c>
      <c r="G1713" s="1">
        <f t="shared" si="1057"/>
        <v>75.914994772831548</v>
      </c>
      <c r="H1713" s="1">
        <f t="shared" si="1057"/>
        <v>72.199643614653553</v>
      </c>
      <c r="I1713" s="1">
        <f t="shared" si="1057"/>
        <v>55.649079205545391</v>
      </c>
      <c r="J1713" s="1">
        <f t="shared" si="1057"/>
        <v>37.863786906508274</v>
      </c>
      <c r="K1713" s="1">
        <f t="shared" si="1057"/>
        <v>28.179487147323755</v>
      </c>
    </row>
    <row r="1714" spans="2:11" x14ac:dyDescent="0.35">
      <c r="B1714" t="str">
        <f t="shared" si="1028"/>
        <v>SPS4</v>
      </c>
      <c r="C1714" t="str">
        <f t="shared" si="1055"/>
        <v>CH</v>
      </c>
      <c r="D1714" t="s">
        <v>1746</v>
      </c>
      <c r="E1714" t="str">
        <f t="shared" si="1056"/>
        <v>PJ/yr.</v>
      </c>
      <c r="F1714" s="1">
        <f t="shared" si="1057"/>
        <v>1.108289116965014</v>
      </c>
      <c r="G1714" s="1">
        <f t="shared" si="1057"/>
        <v>1.4051977974312553</v>
      </c>
      <c r="H1714" s="1">
        <f t="shared" si="1057"/>
        <v>1.8476578235255878</v>
      </c>
      <c r="I1714" s="1">
        <f t="shared" si="1057"/>
        <v>2.56418540520629</v>
      </c>
      <c r="J1714" s="1">
        <f t="shared" si="1057"/>
        <v>1.1566400650028736</v>
      </c>
      <c r="K1714" s="1">
        <f t="shared" si="1057"/>
        <v>0.75515650410006518</v>
      </c>
    </row>
    <row r="1715" spans="2:11" x14ac:dyDescent="0.35">
      <c r="B1715" t="str">
        <f t="shared" si="1028"/>
        <v>SPS4</v>
      </c>
      <c r="C1715" t="str">
        <f t="shared" si="1055"/>
        <v>CH</v>
      </c>
      <c r="D1715" t="s">
        <v>1747</v>
      </c>
      <c r="E1715" t="str">
        <f t="shared" si="1056"/>
        <v>PJ/yr.</v>
      </c>
      <c r="F1715" s="1">
        <f t="shared" si="1057"/>
        <v>6.7831656697727789</v>
      </c>
      <c r="G1715" s="1">
        <f t="shared" si="1057"/>
        <v>6.7746315076403079</v>
      </c>
      <c r="H1715" s="1">
        <f t="shared" si="1057"/>
        <v>7.2908516305744371</v>
      </c>
      <c r="I1715" s="1">
        <f t="shared" si="1057"/>
        <v>11.815097366475921</v>
      </c>
      <c r="J1715" s="1">
        <f t="shared" si="1057"/>
        <v>11.779319007020391</v>
      </c>
      <c r="K1715" s="1">
        <f t="shared" si="1057"/>
        <v>11.218153689869752</v>
      </c>
    </row>
    <row r="1716" spans="2:11" x14ac:dyDescent="0.35">
      <c r="B1716" t="str">
        <f t="shared" ref="B1716:B1779" si="1058">B1715</f>
        <v>SPS4</v>
      </c>
      <c r="C1716" t="str">
        <f t="shared" si="1055"/>
        <v>CH</v>
      </c>
      <c r="D1716" t="s">
        <v>1748</v>
      </c>
      <c r="E1716" t="str">
        <f t="shared" si="1056"/>
        <v>PJ/yr.</v>
      </c>
      <c r="F1716" s="1">
        <f t="shared" si="1057"/>
        <v>2.3490128866760491</v>
      </c>
      <c r="G1716" s="1">
        <f t="shared" si="1057"/>
        <v>2.3780130869690796</v>
      </c>
      <c r="H1716" s="1">
        <f t="shared" si="1057"/>
        <v>3.3165252229331328</v>
      </c>
      <c r="I1716" s="1">
        <f t="shared" si="1057"/>
        <v>8.5905972981419847</v>
      </c>
      <c r="J1716" s="1">
        <f t="shared" si="1057"/>
        <v>9.5861025576409773</v>
      </c>
      <c r="K1716" s="1">
        <f t="shared" si="1057"/>
        <v>9.5857773241054218</v>
      </c>
    </row>
    <row r="1717" spans="2:11" x14ac:dyDescent="0.35">
      <c r="B1717" t="str">
        <f t="shared" si="1058"/>
        <v>SPS4</v>
      </c>
      <c r="C1717" t="str">
        <f t="shared" si="1055"/>
        <v>CH</v>
      </c>
      <c r="D1717" t="s">
        <v>1749</v>
      </c>
      <c r="E1717" t="str">
        <f t="shared" si="1056"/>
        <v>PJ/yr.</v>
      </c>
      <c r="F1717" s="1">
        <f t="shared" si="1057"/>
        <v>4.4341527830967298</v>
      </c>
      <c r="G1717" s="1">
        <f t="shared" si="1057"/>
        <v>4.3966184206712287</v>
      </c>
      <c r="H1717" s="1">
        <f t="shared" si="1057"/>
        <v>3.9743264076413043</v>
      </c>
      <c r="I1717" s="1">
        <f t="shared" si="1057"/>
        <v>3.2245000683339358</v>
      </c>
      <c r="J1717" s="1">
        <f t="shared" si="1057"/>
        <v>2.1932164493794124</v>
      </c>
      <c r="K1717" s="1">
        <f t="shared" si="1057"/>
        <v>1.63237636576433</v>
      </c>
    </row>
    <row r="1718" spans="2:11" x14ac:dyDescent="0.35">
      <c r="B1718" t="str">
        <f t="shared" si="1058"/>
        <v>SPS4</v>
      </c>
      <c r="C1718" t="str">
        <f t="shared" si="1055"/>
        <v>CH</v>
      </c>
      <c r="D1718" t="s">
        <v>1750</v>
      </c>
      <c r="E1718" t="str">
        <f t="shared" si="1056"/>
        <v>PJ/yr.</v>
      </c>
      <c r="F1718" s="1">
        <f t="shared" si="1057"/>
        <v>6.7831656697727789</v>
      </c>
      <c r="G1718" s="1">
        <f t="shared" si="1057"/>
        <v>6.7746315076403079</v>
      </c>
      <c r="H1718" s="1">
        <f t="shared" si="1057"/>
        <v>7.2908516305744371</v>
      </c>
      <c r="I1718" s="1">
        <f t="shared" si="1057"/>
        <v>11.815097366475921</v>
      </c>
      <c r="J1718" s="1">
        <f t="shared" si="1057"/>
        <v>10.783813747521396</v>
      </c>
      <c r="K1718" s="1">
        <f t="shared" si="1057"/>
        <v>11.218153689869752</v>
      </c>
    </row>
    <row r="1719" spans="2:11" x14ac:dyDescent="0.35">
      <c r="B1719" t="str">
        <f t="shared" si="1058"/>
        <v>SPS4</v>
      </c>
      <c r="C1719" t="str">
        <f t="shared" si="1055"/>
        <v>CH</v>
      </c>
      <c r="D1719" t="s">
        <v>1751</v>
      </c>
      <c r="E1719" t="str">
        <f t="shared" si="1056"/>
        <v>PJ/yr.</v>
      </c>
      <c r="F1719" s="1">
        <f t="shared" si="1057"/>
        <v>2.3490128866760491</v>
      </c>
      <c r="G1719" s="1">
        <f t="shared" si="1057"/>
        <v>2.3780130869690796</v>
      </c>
      <c r="H1719" s="1">
        <f t="shared" si="1057"/>
        <v>3.3165252229331328</v>
      </c>
      <c r="I1719" s="1">
        <f t="shared" si="1057"/>
        <v>8.5905972981419847</v>
      </c>
      <c r="J1719" s="1">
        <f t="shared" si="1057"/>
        <v>8.5905972981419847</v>
      </c>
      <c r="K1719" s="1">
        <f t="shared" si="1057"/>
        <v>9.5857773241054218</v>
      </c>
    </row>
    <row r="1720" spans="2:11" x14ac:dyDescent="0.35">
      <c r="B1720" t="str">
        <f t="shared" si="1058"/>
        <v>SPS4</v>
      </c>
      <c r="C1720" t="str">
        <f t="shared" si="1055"/>
        <v>CH</v>
      </c>
      <c r="D1720" t="s">
        <v>1752</v>
      </c>
      <c r="E1720" t="str">
        <f t="shared" si="1056"/>
        <v>PJ/yr.</v>
      </c>
      <c r="F1720" s="1">
        <f t="shared" si="1057"/>
        <v>4.4341527830967298</v>
      </c>
      <c r="G1720" s="1">
        <f t="shared" si="1057"/>
        <v>4.3966184206712287</v>
      </c>
      <c r="H1720" s="1">
        <f t="shared" si="1057"/>
        <v>3.9743264076413043</v>
      </c>
      <c r="I1720" s="1">
        <f t="shared" si="1057"/>
        <v>3.2245000683339358</v>
      </c>
      <c r="J1720" s="1">
        <f t="shared" si="1057"/>
        <v>2.1932164493794124</v>
      </c>
      <c r="K1720" s="1">
        <f t="shared" si="1057"/>
        <v>1.63237636576433</v>
      </c>
    </row>
    <row r="1721" spans="2:11" x14ac:dyDescent="0.35">
      <c r="B1721" t="str">
        <f t="shared" si="1058"/>
        <v>SPS4</v>
      </c>
      <c r="C1721" t="str">
        <f t="shared" si="1055"/>
        <v>CH</v>
      </c>
      <c r="D1721" t="s">
        <v>1753</v>
      </c>
      <c r="E1721" t="str">
        <f t="shared" si="1056"/>
        <v>PJ/yr.</v>
      </c>
      <c r="F1721" s="1">
        <f t="shared" si="1057"/>
        <v>0</v>
      </c>
      <c r="G1721" s="1">
        <f t="shared" si="1057"/>
        <v>0</v>
      </c>
      <c r="H1721" s="1">
        <f t="shared" si="1057"/>
        <v>0</v>
      </c>
      <c r="I1721" s="1">
        <f t="shared" si="1057"/>
        <v>0</v>
      </c>
      <c r="J1721" s="1">
        <f t="shared" si="1057"/>
        <v>0.9955052594989926</v>
      </c>
      <c r="K1721" s="1">
        <f t="shared" si="1057"/>
        <v>0</v>
      </c>
    </row>
    <row r="1722" spans="2:11" x14ac:dyDescent="0.35">
      <c r="B1722" t="str">
        <f t="shared" si="1058"/>
        <v>SPS4</v>
      </c>
      <c r="C1722" t="str">
        <f t="shared" si="1055"/>
        <v>CH</v>
      </c>
      <c r="D1722" t="s">
        <v>1754</v>
      </c>
      <c r="E1722" t="str">
        <f t="shared" si="1056"/>
        <v>PJ/yr.</v>
      </c>
      <c r="F1722" s="1">
        <f t="shared" si="1057"/>
        <v>0</v>
      </c>
      <c r="G1722" s="1">
        <f t="shared" si="1057"/>
        <v>0</v>
      </c>
      <c r="H1722" s="1">
        <f t="shared" si="1057"/>
        <v>0</v>
      </c>
      <c r="I1722" s="1">
        <f t="shared" si="1057"/>
        <v>0</v>
      </c>
      <c r="J1722" s="1">
        <f t="shared" si="1057"/>
        <v>0.9955052594989926</v>
      </c>
      <c r="K1722" s="1">
        <f t="shared" si="1057"/>
        <v>0</v>
      </c>
    </row>
    <row r="1723" spans="2:11" x14ac:dyDescent="0.35">
      <c r="B1723" t="str">
        <f t="shared" si="1058"/>
        <v>SPS4</v>
      </c>
      <c r="C1723" t="str">
        <f t="shared" si="1055"/>
        <v>CH</v>
      </c>
      <c r="D1723" t="s">
        <v>1755</v>
      </c>
      <c r="E1723" t="str">
        <f t="shared" si="1056"/>
        <v>PJ/yr.</v>
      </c>
      <c r="F1723" s="1">
        <f t="shared" si="1057"/>
        <v>0</v>
      </c>
      <c r="G1723" s="1">
        <f t="shared" si="1057"/>
        <v>0</v>
      </c>
      <c r="H1723" s="1">
        <f t="shared" si="1057"/>
        <v>0</v>
      </c>
      <c r="I1723" s="1">
        <f t="shared" si="1057"/>
        <v>0</v>
      </c>
      <c r="J1723" s="1">
        <f t="shared" si="1057"/>
        <v>0</v>
      </c>
      <c r="K1723" s="1">
        <f t="shared" si="1057"/>
        <v>0</v>
      </c>
    </row>
    <row r="1724" spans="2:11" x14ac:dyDescent="0.35">
      <c r="B1724" t="str">
        <f t="shared" si="1058"/>
        <v>SPS4</v>
      </c>
      <c r="C1724" t="str">
        <f t="shared" si="1055"/>
        <v>CH</v>
      </c>
      <c r="D1724" t="s">
        <v>1756</v>
      </c>
      <c r="E1724" t="str">
        <f t="shared" si="1056"/>
        <v>PJ/yr.</v>
      </c>
      <c r="F1724" s="1">
        <f t="shared" si="1057"/>
        <v>0</v>
      </c>
      <c r="G1724" s="1">
        <f t="shared" si="1057"/>
        <v>0</v>
      </c>
      <c r="H1724" s="1">
        <f t="shared" si="1057"/>
        <v>0</v>
      </c>
      <c r="I1724" s="1">
        <f t="shared" si="1057"/>
        <v>0</v>
      </c>
      <c r="J1724" s="1">
        <f t="shared" si="1057"/>
        <v>0</v>
      </c>
      <c r="K1724" s="1">
        <f t="shared" si="1057"/>
        <v>0</v>
      </c>
    </row>
    <row r="1725" spans="2:11" x14ac:dyDescent="0.35">
      <c r="B1725" t="str">
        <f t="shared" si="1058"/>
        <v>SPS4</v>
      </c>
      <c r="C1725" t="str">
        <f t="shared" si="1055"/>
        <v>CH</v>
      </c>
      <c r="D1725" t="s">
        <v>1757</v>
      </c>
      <c r="E1725" t="str">
        <f t="shared" si="1056"/>
        <v>PJ/yr.</v>
      </c>
      <c r="F1725" s="1">
        <f t="shared" si="1057"/>
        <v>117.08258364583848</v>
      </c>
      <c r="G1725" s="1">
        <f t="shared" si="1057"/>
        <v>107.23650502697299</v>
      </c>
      <c r="H1725" s="1">
        <f t="shared" si="1057"/>
        <v>105.92888091676858</v>
      </c>
      <c r="I1725" s="1">
        <f t="shared" si="1057"/>
        <v>104.68228137144082</v>
      </c>
      <c r="J1725" s="1">
        <f t="shared" si="1057"/>
        <v>97.067454849273432</v>
      </c>
      <c r="K1725" s="1">
        <f t="shared" si="1057"/>
        <v>100.07797831786263</v>
      </c>
    </row>
    <row r="1726" spans="2:11" x14ac:dyDescent="0.35">
      <c r="B1726" t="str">
        <f t="shared" si="1058"/>
        <v>SPS4</v>
      </c>
      <c r="C1726" t="str">
        <f t="shared" si="1055"/>
        <v>CH</v>
      </c>
      <c r="D1726" t="s">
        <v>1758</v>
      </c>
      <c r="E1726" t="str">
        <f t="shared" si="1056"/>
        <v>PJ/yr.</v>
      </c>
      <c r="F1726" s="1">
        <f t="shared" si="1057"/>
        <v>117.08258364583848</v>
      </c>
      <c r="G1726" s="1">
        <f t="shared" si="1057"/>
        <v>106.71999986044118</v>
      </c>
      <c r="H1726" s="1">
        <f t="shared" si="1057"/>
        <v>105.92843762674161</v>
      </c>
      <c r="I1726" s="1">
        <f t="shared" si="1057"/>
        <v>102.03024465238508</v>
      </c>
      <c r="J1726" s="1">
        <f t="shared" si="1057"/>
        <v>94.203113518374224</v>
      </c>
      <c r="K1726" s="1">
        <f t="shared" si="1057"/>
        <v>96.6521853251718</v>
      </c>
    </row>
    <row r="1727" spans="2:11" x14ac:dyDescent="0.35">
      <c r="B1727" t="str">
        <f t="shared" si="1058"/>
        <v>SPS4</v>
      </c>
      <c r="C1727" t="str">
        <f t="shared" si="1055"/>
        <v>CH</v>
      </c>
      <c r="D1727" t="s">
        <v>1759</v>
      </c>
      <c r="E1727" t="str">
        <f t="shared" si="1056"/>
        <v>PJ/yr.</v>
      </c>
      <c r="F1727" s="1">
        <f t="shared" si="1057"/>
        <v>117.08258364583848</v>
      </c>
      <c r="G1727" s="1">
        <f t="shared" si="1057"/>
        <v>106.71999986044118</v>
      </c>
      <c r="H1727" s="1">
        <f t="shared" si="1057"/>
        <v>105.92843762674161</v>
      </c>
      <c r="I1727" s="1">
        <f t="shared" si="1057"/>
        <v>102.02943697435552</v>
      </c>
      <c r="J1727" s="1">
        <f t="shared" si="1057"/>
        <v>94.202409132162543</v>
      </c>
      <c r="K1727" s="1">
        <f t="shared" si="1057"/>
        <v>96.651765320470858</v>
      </c>
    </row>
    <row r="1728" spans="2:11" x14ac:dyDescent="0.35">
      <c r="B1728" t="str">
        <f t="shared" si="1058"/>
        <v>SPS4</v>
      </c>
      <c r="C1728" t="str">
        <f t="shared" si="1055"/>
        <v>CH</v>
      </c>
      <c r="D1728" t="s">
        <v>1760</v>
      </c>
      <c r="E1728" t="str">
        <f t="shared" si="1056"/>
        <v>PJ/yr.</v>
      </c>
      <c r="F1728" s="1">
        <f t="shared" si="1057"/>
        <v>0</v>
      </c>
      <c r="G1728" s="1">
        <f t="shared" si="1057"/>
        <v>0</v>
      </c>
      <c r="H1728" s="1">
        <f t="shared" si="1057"/>
        <v>0</v>
      </c>
      <c r="I1728" s="1">
        <f t="shared" si="1057"/>
        <v>8.0767802955452955E-4</v>
      </c>
      <c r="J1728" s="1">
        <f t="shared" si="1057"/>
        <v>7.0438621167654835E-4</v>
      </c>
      <c r="K1728" s="1">
        <f t="shared" si="1057"/>
        <v>4.2000470094739483E-4</v>
      </c>
    </row>
    <row r="1729" spans="2:11" x14ac:dyDescent="0.35">
      <c r="B1729" t="str">
        <f t="shared" si="1058"/>
        <v>SPS4</v>
      </c>
      <c r="C1729" t="str">
        <f t="shared" si="1055"/>
        <v>CH</v>
      </c>
      <c r="D1729" t="s">
        <v>1761</v>
      </c>
      <c r="E1729" t="str">
        <f t="shared" si="1056"/>
        <v>PJ/yr.</v>
      </c>
      <c r="F1729" s="1">
        <f t="shared" si="1057"/>
        <v>0</v>
      </c>
      <c r="G1729" s="1">
        <f t="shared" si="1057"/>
        <v>0.51650516653181899</v>
      </c>
      <c r="H1729" s="1">
        <f t="shared" si="1057"/>
        <v>4.4329002696620194E-4</v>
      </c>
      <c r="I1729" s="1">
        <f t="shared" si="1057"/>
        <v>2.6520367190557428</v>
      </c>
      <c r="J1729" s="1">
        <f t="shared" si="1057"/>
        <v>2.8643413308992089</v>
      </c>
      <c r="K1729" s="1">
        <f t="shared" si="1057"/>
        <v>3.4257929926908255</v>
      </c>
    </row>
    <row r="1730" spans="2:11" x14ac:dyDescent="0.35">
      <c r="B1730" t="str">
        <f t="shared" si="1058"/>
        <v>SPS4</v>
      </c>
      <c r="C1730" t="str">
        <f t="shared" si="1055"/>
        <v>CH</v>
      </c>
      <c r="D1730" t="s">
        <v>1762</v>
      </c>
      <c r="E1730" t="str">
        <f t="shared" si="1056"/>
        <v>PJ/yr.</v>
      </c>
      <c r="F1730" s="1">
        <f t="shared" si="1057"/>
        <v>0</v>
      </c>
      <c r="G1730" s="1">
        <f t="shared" si="1057"/>
        <v>0.51650516653181899</v>
      </c>
      <c r="H1730" s="1">
        <f t="shared" si="1057"/>
        <v>4.4329002696620194E-4</v>
      </c>
      <c r="I1730" s="1">
        <f t="shared" si="1057"/>
        <v>2.6520367190557428</v>
      </c>
      <c r="J1730" s="1">
        <f t="shared" si="1057"/>
        <v>2.6520367190557428</v>
      </c>
      <c r="K1730" s="1">
        <f t="shared" si="1057"/>
        <v>2.8643413308992089</v>
      </c>
    </row>
    <row r="1731" spans="2:11" x14ac:dyDescent="0.35">
      <c r="B1731" t="str">
        <f t="shared" si="1058"/>
        <v>SPS4</v>
      </c>
      <c r="C1731" t="str">
        <f t="shared" si="1055"/>
        <v>CH</v>
      </c>
      <c r="D1731" t="s">
        <v>1763</v>
      </c>
      <c r="E1731" t="str">
        <f t="shared" si="1056"/>
        <v>PJ/yr.</v>
      </c>
      <c r="F1731" s="1">
        <f t="shared" si="1057"/>
        <v>0</v>
      </c>
      <c r="G1731" s="1">
        <f t="shared" si="1057"/>
        <v>0.51650516653181899</v>
      </c>
      <c r="H1731" s="1">
        <f t="shared" si="1057"/>
        <v>4.4329002696620194E-4</v>
      </c>
      <c r="I1731" s="1">
        <f t="shared" si="1057"/>
        <v>2.6520367190557428</v>
      </c>
      <c r="J1731" s="1">
        <f t="shared" si="1057"/>
        <v>2.6520367190557428</v>
      </c>
      <c r="K1731" s="1">
        <f t="shared" si="1057"/>
        <v>2.8643413308992089</v>
      </c>
    </row>
    <row r="1732" spans="2:11" x14ac:dyDescent="0.35">
      <c r="B1732" t="str">
        <f t="shared" si="1058"/>
        <v>SPS4</v>
      </c>
      <c r="C1732" t="str">
        <f t="shared" si="1055"/>
        <v>CH</v>
      </c>
      <c r="D1732" t="s">
        <v>1764</v>
      </c>
      <c r="E1732" t="str">
        <f t="shared" si="1056"/>
        <v>PJ/yr.</v>
      </c>
      <c r="F1732" s="1">
        <f t="shared" si="1057"/>
        <v>0</v>
      </c>
      <c r="G1732" s="1">
        <f t="shared" si="1057"/>
        <v>0</v>
      </c>
      <c r="H1732" s="1">
        <f t="shared" si="1057"/>
        <v>0</v>
      </c>
      <c r="I1732" s="1">
        <f t="shared" si="1057"/>
        <v>0</v>
      </c>
      <c r="J1732" s="1">
        <f t="shared" si="1057"/>
        <v>0.21230461184346616</v>
      </c>
      <c r="K1732" s="1">
        <f t="shared" si="1057"/>
        <v>0.56145166179161654</v>
      </c>
    </row>
    <row r="1733" spans="2:11" x14ac:dyDescent="0.35">
      <c r="B1733" t="str">
        <f t="shared" si="1058"/>
        <v>SPS4</v>
      </c>
      <c r="C1733" t="str">
        <f t="shared" si="1055"/>
        <v>CH</v>
      </c>
      <c r="D1733" t="s">
        <v>1765</v>
      </c>
      <c r="E1733" t="str">
        <f t="shared" si="1056"/>
        <v>PJ/yr.</v>
      </c>
      <c r="F1733" s="1">
        <f t="shared" si="1057"/>
        <v>0</v>
      </c>
      <c r="G1733" s="1">
        <f t="shared" si="1057"/>
        <v>0</v>
      </c>
      <c r="H1733" s="1">
        <f t="shared" si="1057"/>
        <v>0</v>
      </c>
      <c r="I1733" s="1">
        <f t="shared" si="1057"/>
        <v>0</v>
      </c>
      <c r="J1733" s="1">
        <f t="shared" si="1057"/>
        <v>0.21230461184346616</v>
      </c>
      <c r="K1733" s="1">
        <f t="shared" si="1057"/>
        <v>0.56145166179161654</v>
      </c>
    </row>
    <row r="1734" spans="2:11" x14ac:dyDescent="0.35">
      <c r="B1734" t="str">
        <f t="shared" si="1058"/>
        <v>SPS4</v>
      </c>
      <c r="C1734" t="str">
        <f t="shared" si="1055"/>
        <v>CH</v>
      </c>
      <c r="D1734" t="s">
        <v>1766</v>
      </c>
      <c r="E1734" t="str">
        <f t="shared" si="1056"/>
        <v>PJ/yr.</v>
      </c>
      <c r="F1734" s="1">
        <f t="shared" si="1057"/>
        <v>250.9482066226399</v>
      </c>
      <c r="G1734" s="1">
        <f t="shared" si="1057"/>
        <v>253.29997126607861</v>
      </c>
      <c r="H1734" s="1">
        <f t="shared" si="1057"/>
        <v>206.08389501720879</v>
      </c>
      <c r="I1734" s="1">
        <f t="shared" si="1057"/>
        <v>211.89120755072275</v>
      </c>
      <c r="J1734" s="1">
        <f t="shared" si="1057"/>
        <v>98.945536106252703</v>
      </c>
      <c r="K1734" s="1">
        <f t="shared" si="1057"/>
        <v>0</v>
      </c>
    </row>
    <row r="1735" spans="2:11" x14ac:dyDescent="0.35">
      <c r="B1735" t="str">
        <f t="shared" si="1058"/>
        <v>SPS4</v>
      </c>
      <c r="C1735" t="str">
        <f t="shared" si="1055"/>
        <v>CH</v>
      </c>
      <c r="D1735" t="s">
        <v>1767</v>
      </c>
      <c r="E1735" t="str">
        <f t="shared" si="1056"/>
        <v>PJ/yr.</v>
      </c>
      <c r="F1735" s="1">
        <f>-F56+F49</f>
        <v>-20.010002303010793</v>
      </c>
      <c r="G1735" s="1">
        <f t="shared" ref="G1735:K1735" si="1059">-G56+G49</f>
        <v>14.804806768883132</v>
      </c>
      <c r="H1735" s="1">
        <f t="shared" si="1059"/>
        <v>-4.3318319342821212</v>
      </c>
      <c r="I1735" s="1">
        <f t="shared" si="1059"/>
        <v>-4.9097948885451643</v>
      </c>
      <c r="J1735" s="1">
        <f t="shared" si="1059"/>
        <v>23.488939597944043</v>
      </c>
      <c r="K1735" s="1">
        <f t="shared" si="1059"/>
        <v>23.072019922995295</v>
      </c>
    </row>
    <row r="1736" spans="2:11" x14ac:dyDescent="0.35">
      <c r="B1736" t="str">
        <f t="shared" si="1058"/>
        <v>SPS4</v>
      </c>
      <c r="C1736" t="str">
        <f t="shared" si="1055"/>
        <v>CH</v>
      </c>
      <c r="D1736" t="s">
        <v>1768</v>
      </c>
      <c r="E1736" t="str">
        <f t="shared" si="1056"/>
        <v>PJ/yr.</v>
      </c>
      <c r="F1736" s="1">
        <f>F54</f>
        <v>0</v>
      </c>
      <c r="G1736" s="1">
        <f t="shared" ref="G1736:K1736" si="1060">G54</f>
        <v>0</v>
      </c>
      <c r="H1736" s="1">
        <f t="shared" si="1060"/>
        <v>0</v>
      </c>
      <c r="I1736" s="1">
        <f t="shared" si="1060"/>
        <v>0</v>
      </c>
      <c r="J1736" s="1">
        <f t="shared" si="1060"/>
        <v>8.2844004006968862E-4</v>
      </c>
      <c r="K1736" s="1">
        <f t="shared" si="1060"/>
        <v>8.3022205458255357E-4</v>
      </c>
    </row>
    <row r="1737" spans="2:11" x14ac:dyDescent="0.35">
      <c r="B1737" t="str">
        <f t="shared" si="1058"/>
        <v>SPS4</v>
      </c>
      <c r="C1737" t="str">
        <f t="shared" si="1055"/>
        <v>CH</v>
      </c>
      <c r="D1737" t="s">
        <v>1770</v>
      </c>
      <c r="E1737" t="str">
        <f>E3</f>
        <v>PJ/yr.</v>
      </c>
      <c r="F1737" s="1">
        <f>F3</f>
        <v>44.972470130965256</v>
      </c>
      <c r="G1737" s="1">
        <f t="shared" ref="G1737:K1737" si="1061">G3</f>
        <v>48.190497413107529</v>
      </c>
      <c r="H1737" s="1">
        <f t="shared" si="1061"/>
        <v>48.637978214004647</v>
      </c>
      <c r="I1737" s="1">
        <f t="shared" si="1061"/>
        <v>48.638700741363522</v>
      </c>
      <c r="J1737" s="1">
        <f t="shared" si="1061"/>
        <v>50.459885504380324</v>
      </c>
      <c r="K1737" s="1">
        <f t="shared" si="1061"/>
        <v>51.034782493835792</v>
      </c>
    </row>
    <row r="1738" spans="2:11" x14ac:dyDescent="0.35">
      <c r="B1738" t="str">
        <f t="shared" si="1058"/>
        <v>SPS4</v>
      </c>
      <c r="C1738" t="str">
        <f t="shared" si="1055"/>
        <v>CH</v>
      </c>
      <c r="D1738" t="s">
        <v>1771</v>
      </c>
      <c r="E1738" t="str">
        <f t="shared" ref="E1738:F1738" si="1062">E4</f>
        <v>PJ/yr.</v>
      </c>
      <c r="F1738" s="1">
        <f t="shared" si="1062"/>
        <v>11.111887080703235</v>
      </c>
      <c r="G1738" s="1">
        <f t="shared" ref="G1738:K1738" si="1063">G4</f>
        <v>11.952894224577125</v>
      </c>
      <c r="H1738" s="1">
        <f t="shared" si="1063"/>
        <v>13.214396366540509</v>
      </c>
      <c r="I1738" s="1">
        <f t="shared" si="1063"/>
        <v>15.316913940145136</v>
      </c>
      <c r="J1738" s="1">
        <f t="shared" si="1063"/>
        <v>16.266399867659125</v>
      </c>
      <c r="K1738" s="1">
        <f t="shared" si="1063"/>
        <v>16.956997649456635</v>
      </c>
    </row>
    <row r="1739" spans="2:11" x14ac:dyDescent="0.35">
      <c r="B1739" t="str">
        <f t="shared" si="1058"/>
        <v>SPS4</v>
      </c>
      <c r="C1739" t="str">
        <f t="shared" si="1055"/>
        <v>CH</v>
      </c>
      <c r="D1739" t="s">
        <v>1772</v>
      </c>
      <c r="E1739" t="str">
        <f t="shared" ref="E1739:F1739" si="1064">E5</f>
        <v>PJ/yr.</v>
      </c>
      <c r="F1739" s="1">
        <f t="shared" si="1064"/>
        <v>7.5116807187130856</v>
      </c>
      <c r="G1739" s="1">
        <f t="shared" ref="G1739:K1739" si="1065">G5</f>
        <v>7.543152714349854</v>
      </c>
      <c r="H1739" s="1">
        <f t="shared" si="1065"/>
        <v>7.5903521129438722</v>
      </c>
      <c r="I1739" s="1">
        <f t="shared" si="1065"/>
        <v>7.6690318372811142</v>
      </c>
      <c r="J1739" s="1">
        <f t="shared" si="1065"/>
        <v>7.6690314542317317</v>
      </c>
      <c r="K1739" s="1">
        <f t="shared" si="1065"/>
        <v>7.6690318741562127</v>
      </c>
    </row>
    <row r="1740" spans="2:11" x14ac:dyDescent="0.35">
      <c r="B1740" t="str">
        <f t="shared" si="1058"/>
        <v>SPS4</v>
      </c>
      <c r="C1740" t="str">
        <f t="shared" si="1055"/>
        <v>CH</v>
      </c>
      <c r="D1740" t="s">
        <v>1773</v>
      </c>
      <c r="E1740" t="str">
        <f t="shared" ref="E1740:F1740" si="1066">E6</f>
        <v>PJ/yr.</v>
      </c>
      <c r="F1740" s="1">
        <f t="shared" si="1066"/>
        <v>3.1682550304546395</v>
      </c>
      <c r="G1740" s="1">
        <f t="shared" ref="G1740:K1740" si="1067">G6</f>
        <v>3.4956774164018611</v>
      </c>
      <c r="H1740" s="1">
        <f t="shared" si="1067"/>
        <v>3.9868188851996194</v>
      </c>
      <c r="I1740" s="1">
        <f t="shared" si="1067"/>
        <v>4.8053882266505985</v>
      </c>
      <c r="J1740" s="1">
        <f t="shared" si="1067"/>
        <v>4.805387737568557</v>
      </c>
      <c r="K1740" s="1">
        <f t="shared" si="1067"/>
        <v>4.8053882808963877</v>
      </c>
    </row>
    <row r="1741" spans="2:11" x14ac:dyDescent="0.35">
      <c r="B1741" t="str">
        <f t="shared" si="1058"/>
        <v>SPS4</v>
      </c>
      <c r="C1741" t="str">
        <f t="shared" si="1055"/>
        <v>CH</v>
      </c>
      <c r="D1741" t="s">
        <v>1774</v>
      </c>
      <c r="E1741" t="str">
        <f t="shared" ref="E1741:F1741" si="1068">E7</f>
        <v>PJ/yr.</v>
      </c>
      <c r="F1741" s="1">
        <f t="shared" si="1068"/>
        <v>23.180647301094297</v>
      </c>
      <c r="G1741" s="1">
        <f t="shared" ref="G1741:K1741" si="1069">G7</f>
        <v>25.198773057778688</v>
      </c>
      <c r="H1741" s="1">
        <f t="shared" si="1069"/>
        <v>23.846410849320645</v>
      </c>
      <c r="I1741" s="1">
        <f t="shared" si="1069"/>
        <v>20.847366737286674</v>
      </c>
      <c r="J1741" s="1">
        <f t="shared" si="1069"/>
        <v>21.719066444920909</v>
      </c>
      <c r="K1741" s="1">
        <f t="shared" si="1069"/>
        <v>21.603364689326558</v>
      </c>
    </row>
    <row r="1742" spans="2:11" x14ac:dyDescent="0.35">
      <c r="B1742" t="str">
        <f t="shared" si="1058"/>
        <v>SPS4</v>
      </c>
      <c r="C1742" t="str">
        <f t="shared" si="1055"/>
        <v>CH</v>
      </c>
      <c r="D1742" t="s">
        <v>1775</v>
      </c>
      <c r="E1742" t="str">
        <f t="shared" ref="E1742:F1742" si="1070">E8</f>
        <v>PJ/yr.</v>
      </c>
      <c r="F1742" s="1">
        <f t="shared" si="1070"/>
        <v>70.031583615684553</v>
      </c>
      <c r="G1742" s="1">
        <f t="shared" ref="G1742:K1742" si="1071">G8</f>
        <v>70.696312016637137</v>
      </c>
      <c r="H1742" s="1">
        <f t="shared" si="1071"/>
        <v>70.303401354583812</v>
      </c>
      <c r="I1742" s="1">
        <f t="shared" si="1071"/>
        <v>69.853893846315998</v>
      </c>
      <c r="J1742" s="1">
        <f t="shared" si="1071"/>
        <v>69.982193018671438</v>
      </c>
      <c r="K1742" s="1">
        <f t="shared" si="1071"/>
        <v>75.481916091285626</v>
      </c>
    </row>
    <row r="1743" spans="2:11" x14ac:dyDescent="0.35">
      <c r="B1743" t="str">
        <f t="shared" si="1058"/>
        <v>SPS4</v>
      </c>
      <c r="C1743" t="str">
        <f t="shared" si="1055"/>
        <v>CH</v>
      </c>
      <c r="D1743" t="s">
        <v>1776</v>
      </c>
      <c r="E1743" t="str">
        <f t="shared" ref="E1743:F1743" si="1072">E9</f>
        <v>PJ/yr.</v>
      </c>
      <c r="F1743" s="1">
        <f t="shared" si="1072"/>
        <v>35.931127006523852</v>
      </c>
      <c r="G1743" s="1">
        <f t="shared" ref="G1743:K1743" si="1073">G9</f>
        <v>35.882387755203617</v>
      </c>
      <c r="H1743" s="1">
        <f t="shared" si="1073"/>
        <v>35.489464933168392</v>
      </c>
      <c r="I1743" s="1">
        <f t="shared" si="1073"/>
        <v>35.039966051974346</v>
      </c>
      <c r="J1743" s="1">
        <f t="shared" si="1073"/>
        <v>35.159452435477945</v>
      </c>
      <c r="K1743" s="1">
        <f t="shared" si="1073"/>
        <v>35.603175973843797</v>
      </c>
    </row>
    <row r="1744" spans="2:11" x14ac:dyDescent="0.35">
      <c r="B1744" t="str">
        <f t="shared" si="1058"/>
        <v>SPS4</v>
      </c>
      <c r="C1744" t="str">
        <f t="shared" si="1055"/>
        <v>CH</v>
      </c>
      <c r="D1744" t="s">
        <v>1777</v>
      </c>
      <c r="E1744" t="str">
        <f t="shared" ref="E1744:F1744" si="1074">E10</f>
        <v>PJ/yr.</v>
      </c>
      <c r="F1744" s="1">
        <f t="shared" si="1074"/>
        <v>34.100456609160702</v>
      </c>
      <c r="G1744" s="1">
        <f t="shared" ref="G1744:K1744" si="1075">G10</f>
        <v>34.813924261433527</v>
      </c>
      <c r="H1744" s="1">
        <f t="shared" si="1075"/>
        <v>34.81393642141542</v>
      </c>
      <c r="I1744" s="1">
        <f t="shared" si="1075"/>
        <v>34.813927794341652</v>
      </c>
      <c r="J1744" s="1">
        <f t="shared" si="1075"/>
        <v>34.822740583193486</v>
      </c>
      <c r="K1744" s="1">
        <f t="shared" si="1075"/>
        <v>39.878740117441836</v>
      </c>
    </row>
    <row r="1745" spans="2:11" x14ac:dyDescent="0.35">
      <c r="B1745" t="str">
        <f t="shared" si="1058"/>
        <v>SPS4</v>
      </c>
      <c r="C1745" t="str">
        <f t="shared" si="1055"/>
        <v>CH</v>
      </c>
      <c r="D1745" t="s">
        <v>1778</v>
      </c>
      <c r="E1745" t="str">
        <f t="shared" ref="E1745:F1745" si="1076">E11</f>
        <v>PJ/yr.</v>
      </c>
      <c r="F1745" s="1">
        <f t="shared" si="1076"/>
        <v>3.7981060759479917</v>
      </c>
      <c r="G1745" s="1">
        <f t="shared" ref="G1745:K1745" si="1077">G11</f>
        <v>10.707989460631929</v>
      </c>
      <c r="H1745" s="1">
        <f t="shared" si="1077"/>
        <v>12.540098936358259</v>
      </c>
      <c r="I1745" s="1">
        <f t="shared" si="1077"/>
        <v>12.540426702939271</v>
      </c>
      <c r="J1745" s="1">
        <f t="shared" si="1077"/>
        <v>14.623726710352047</v>
      </c>
      <c r="K1745" s="1">
        <f t="shared" si="1077"/>
        <v>18.811312156095504</v>
      </c>
    </row>
    <row r="1746" spans="2:11" x14ac:dyDescent="0.35">
      <c r="B1746" t="str">
        <f t="shared" si="1058"/>
        <v>SPS4</v>
      </c>
      <c r="C1746" t="str">
        <f t="shared" si="1055"/>
        <v>CH</v>
      </c>
      <c r="D1746" t="s">
        <v>1779</v>
      </c>
      <c r="E1746" t="str">
        <f t="shared" ref="E1746:F1746" si="1078">E12</f>
        <v>PJ/yr.</v>
      </c>
      <c r="F1746" s="1">
        <f t="shared" si="1078"/>
        <v>149.43048676779389</v>
      </c>
      <c r="G1746" s="1">
        <f t="shared" ref="G1746:K1746" si="1079">G12</f>
        <v>125.60594559963398</v>
      </c>
      <c r="H1746" s="1">
        <f t="shared" si="1079"/>
        <v>177.65239935932033</v>
      </c>
      <c r="I1746" s="1">
        <f t="shared" si="1079"/>
        <v>150.46034272154878</v>
      </c>
      <c r="J1746" s="1">
        <f t="shared" si="1079"/>
        <v>150.73420772528254</v>
      </c>
      <c r="K1746" s="1">
        <f t="shared" si="1079"/>
        <v>150.96379181695721</v>
      </c>
    </row>
    <row r="1747" spans="2:11" x14ac:dyDescent="0.35">
      <c r="B1747" t="str">
        <f t="shared" si="1058"/>
        <v>SPS4</v>
      </c>
      <c r="C1747" t="str">
        <f t="shared" si="1055"/>
        <v>CH</v>
      </c>
      <c r="D1747" t="s">
        <v>1780</v>
      </c>
      <c r="E1747" t="str">
        <f t="shared" ref="E1747:F1747" si="1080">E13</f>
        <v>PJ/yr.</v>
      </c>
      <c r="F1747" s="1">
        <f t="shared" si="1080"/>
        <v>66.745680000010836</v>
      </c>
      <c r="G1747" s="1">
        <f t="shared" ref="G1747:K1747" si="1081">G13</f>
        <v>49.798802112454716</v>
      </c>
      <c r="H1747" s="1">
        <f t="shared" si="1081"/>
        <v>68.534387711104714</v>
      </c>
      <c r="I1747" s="1">
        <f t="shared" si="1081"/>
        <v>70.34291557821463</v>
      </c>
      <c r="J1747" s="1">
        <f t="shared" si="1081"/>
        <v>72.511307323161802</v>
      </c>
      <c r="K1747" s="1">
        <f t="shared" si="1081"/>
        <v>74.680995636390534</v>
      </c>
    </row>
    <row r="1748" spans="2:11" x14ac:dyDescent="0.35">
      <c r="B1748" t="str">
        <f t="shared" si="1058"/>
        <v>SPS4</v>
      </c>
      <c r="C1748" t="str">
        <f t="shared" si="1055"/>
        <v>CH</v>
      </c>
      <c r="D1748" t="s">
        <v>1781</v>
      </c>
      <c r="E1748" t="str">
        <f t="shared" ref="E1748:F1748" si="1082">E14</f>
        <v>PJ/yr.</v>
      </c>
      <c r="F1748" s="1">
        <f t="shared" si="1082"/>
        <v>66.63240058493669</v>
      </c>
      <c r="G1748" s="1">
        <f t="shared" ref="G1748:K1748" si="1083">G14</f>
        <v>55.764004617408034</v>
      </c>
      <c r="H1748" s="1">
        <f t="shared" si="1083"/>
        <v>65.55096200066761</v>
      </c>
      <c r="I1748" s="1">
        <f t="shared" si="1083"/>
        <v>64.468038140082029</v>
      </c>
      <c r="J1748" s="1">
        <f t="shared" si="1083"/>
        <v>62.299668571129772</v>
      </c>
      <c r="K1748" s="1">
        <f t="shared" si="1083"/>
        <v>60.129976775260509</v>
      </c>
    </row>
    <row r="1749" spans="2:11" x14ac:dyDescent="0.35">
      <c r="B1749" t="str">
        <f t="shared" si="1058"/>
        <v>SPS4</v>
      </c>
      <c r="C1749" t="str">
        <f t="shared" si="1055"/>
        <v>CH</v>
      </c>
      <c r="D1749" t="s">
        <v>1782</v>
      </c>
      <c r="E1749" t="str">
        <f t="shared" ref="E1749:F1749" si="1084">E15</f>
        <v>PJ/yr.</v>
      </c>
      <c r="F1749" s="1">
        <f t="shared" si="1084"/>
        <v>16.052406182846379</v>
      </c>
      <c r="G1749" s="1">
        <f t="shared" ref="G1749:K1749" si="1085">G15</f>
        <v>20.04313886977123</v>
      </c>
      <c r="H1749" s="1">
        <f t="shared" si="1085"/>
        <v>43.567049647548004</v>
      </c>
      <c r="I1749" s="1">
        <f t="shared" si="1085"/>
        <v>15.64938900325212</v>
      </c>
      <c r="J1749" s="1">
        <f t="shared" si="1085"/>
        <v>15.923231830990986</v>
      </c>
      <c r="K1749" s="1">
        <f t="shared" si="1085"/>
        <v>16.152819405306158</v>
      </c>
    </row>
    <row r="1750" spans="2:11" x14ac:dyDescent="0.35">
      <c r="B1750" t="str">
        <f t="shared" si="1058"/>
        <v>SPS4</v>
      </c>
      <c r="C1750" t="str">
        <f t="shared" si="1055"/>
        <v>CH</v>
      </c>
      <c r="D1750" t="s">
        <v>1783</v>
      </c>
      <c r="E1750" t="str">
        <f t="shared" ref="E1750:F1750" si="1086">E16</f>
        <v>PJ/yr.</v>
      </c>
      <c r="F1750" s="1">
        <f t="shared" si="1086"/>
        <v>12.556532982312607</v>
      </c>
      <c r="G1750" s="1">
        <f t="shared" ref="G1750:K1750" si="1087">G16</f>
        <v>16.523564180541666</v>
      </c>
      <c r="H1750" s="1">
        <f t="shared" si="1087"/>
        <v>30.349277694143915</v>
      </c>
      <c r="I1750" s="1">
        <f t="shared" si="1087"/>
        <v>32.983451345643964</v>
      </c>
      <c r="J1750" s="1">
        <f t="shared" si="1087"/>
        <v>53.078282870995444</v>
      </c>
      <c r="K1750" s="1">
        <f t="shared" si="1087"/>
        <v>67.519132433872016</v>
      </c>
    </row>
    <row r="1751" spans="2:11" x14ac:dyDescent="0.35">
      <c r="B1751" t="str">
        <f t="shared" si="1058"/>
        <v>SPS4</v>
      </c>
      <c r="C1751" t="str">
        <f t="shared" si="1055"/>
        <v>CH</v>
      </c>
      <c r="D1751" t="s">
        <v>1784</v>
      </c>
      <c r="E1751" t="str">
        <f t="shared" ref="E1751:F1751" si="1088">E17</f>
        <v>PJ/yr.</v>
      </c>
      <c r="F1751" s="1">
        <f t="shared" si="1088"/>
        <v>0.52402910335753083</v>
      </c>
      <c r="G1751" s="1">
        <f t="shared" ref="G1751:K1751" si="1089">G17</f>
        <v>0.54529606787767981</v>
      </c>
      <c r="H1751" s="1">
        <f t="shared" si="1089"/>
        <v>0.50316867355987227</v>
      </c>
      <c r="I1751" s="1">
        <f t="shared" si="1089"/>
        <v>0.88472648533039999</v>
      </c>
      <c r="J1751" s="1">
        <f t="shared" si="1089"/>
        <v>0.79253688662677513</v>
      </c>
      <c r="K1751" s="1">
        <f t="shared" si="1089"/>
        <v>3.1871550167035161</v>
      </c>
    </row>
    <row r="1752" spans="2:11" x14ac:dyDescent="0.35">
      <c r="B1752" t="str">
        <f t="shared" si="1058"/>
        <v>SPS4</v>
      </c>
      <c r="C1752" t="str">
        <f t="shared" si="1055"/>
        <v>CH</v>
      </c>
      <c r="D1752" t="s">
        <v>1785</v>
      </c>
      <c r="E1752" t="str">
        <f t="shared" ref="E1752:F1752" si="1090">E18</f>
        <v>PJ/yr.</v>
      </c>
      <c r="F1752" s="1">
        <f t="shared" si="1090"/>
        <v>18.873178698194675</v>
      </c>
      <c r="G1752" s="1">
        <f t="shared" ref="G1752:K1752" si="1091">G18</f>
        <v>21.777978842058733</v>
      </c>
      <c r="H1752" s="1">
        <f t="shared" si="1091"/>
        <v>30.491132851111839</v>
      </c>
      <c r="I1752" s="1">
        <f t="shared" si="1091"/>
        <v>45.653975962280214</v>
      </c>
      <c r="J1752" s="1">
        <f t="shared" si="1091"/>
        <v>64.824973068443185</v>
      </c>
      <c r="K1752" s="1">
        <f t="shared" si="1091"/>
        <v>81.625330813367555</v>
      </c>
    </row>
    <row r="1753" spans="2:11" x14ac:dyDescent="0.35">
      <c r="B1753" t="str">
        <f t="shared" si="1058"/>
        <v>SPS4</v>
      </c>
      <c r="C1753" t="str">
        <f t="shared" si="1055"/>
        <v>CH</v>
      </c>
      <c r="D1753" t="s">
        <v>1786</v>
      </c>
      <c r="E1753" t="str">
        <f t="shared" ref="E1753:F1753" si="1092">E19</f>
        <v>PJ/yr.</v>
      </c>
      <c r="F1753" s="1">
        <f t="shared" si="1092"/>
        <v>0</v>
      </c>
      <c r="G1753" s="1">
        <f t="shared" ref="G1753:K1753" si="1093">G19</f>
        <v>0</v>
      </c>
      <c r="H1753" s="1">
        <f t="shared" si="1093"/>
        <v>0</v>
      </c>
      <c r="I1753" s="1">
        <f t="shared" si="1093"/>
        <v>0</v>
      </c>
      <c r="J1753" s="1">
        <f t="shared" si="1093"/>
        <v>2.4592488013702694E-2</v>
      </c>
      <c r="K1753" s="1">
        <f t="shared" si="1093"/>
        <v>0.15660538313312766</v>
      </c>
    </row>
    <row r="1754" spans="2:11" x14ac:dyDescent="0.35">
      <c r="B1754" s="9" t="str">
        <f t="shared" si="1058"/>
        <v>SPS4</v>
      </c>
      <c r="C1754" s="2" t="str">
        <f t="shared" si="1055"/>
        <v>CH</v>
      </c>
      <c r="D1754" s="2" t="s">
        <v>1789</v>
      </c>
      <c r="E1754" s="2" t="s">
        <v>1858</v>
      </c>
      <c r="F1754" s="3">
        <f t="shared" ref="F1754:K1754" si="1094">SUM(F1755,F1757,F1761,F1765,F1781,F1788,F1796,F1798,F1806,F1810,F1804)</f>
        <v>22.33812057963285</v>
      </c>
      <c r="G1754" s="3">
        <f t="shared" si="1094"/>
        <v>24.335530211351223</v>
      </c>
      <c r="H1754" s="3">
        <f t="shared" si="1094"/>
        <v>29.190387281048711</v>
      </c>
      <c r="I1754" s="3">
        <f t="shared" si="1094"/>
        <v>29.231775038593035</v>
      </c>
      <c r="J1754" s="3">
        <f t="shared" si="1094"/>
        <v>34.140092090085879</v>
      </c>
      <c r="K1754" s="3">
        <f t="shared" si="1094"/>
        <v>38.624115121126358</v>
      </c>
    </row>
    <row r="1755" spans="2:11" x14ac:dyDescent="0.35">
      <c r="B1755" s="5" t="str">
        <f t="shared" si="1058"/>
        <v>SPS4</v>
      </c>
      <c r="C1755" s="5" t="str">
        <f t="shared" si="1055"/>
        <v>CH</v>
      </c>
      <c r="D1755" t="s">
        <v>1791</v>
      </c>
      <c r="E1755" t="str">
        <f>E1754</f>
        <v>GWe/yr.</v>
      </c>
      <c r="F1755" s="1">
        <f>+F1756</f>
        <v>3.0805585818793029</v>
      </c>
      <c r="G1755" s="1">
        <f t="shared" ref="G1755:K1755" si="1095">+G1756</f>
        <v>3.0805583502812199</v>
      </c>
      <c r="H1755" s="1">
        <f t="shared" si="1095"/>
        <v>2.7153806635465116</v>
      </c>
      <c r="I1755" s="1">
        <f t="shared" si="1095"/>
        <v>2.6089113970653699</v>
      </c>
      <c r="J1755" s="1">
        <f t="shared" si="1095"/>
        <v>1.2356856387330069</v>
      </c>
      <c r="K1755" s="1">
        <f t="shared" si="1095"/>
        <v>0</v>
      </c>
    </row>
    <row r="1756" spans="2:11" x14ac:dyDescent="0.35">
      <c r="B1756" s="5" t="str">
        <f t="shared" si="1058"/>
        <v>SPS4</v>
      </c>
      <c r="C1756" s="5" t="str">
        <f t="shared" si="1055"/>
        <v>CH</v>
      </c>
      <c r="D1756" t="s">
        <v>1792</v>
      </c>
      <c r="E1756" t="str">
        <f t="shared" ref="E1756:E1817" si="1096">E1755</f>
        <v>GWe/yr.</v>
      </c>
      <c r="F1756" s="1">
        <f>'[1]Electricity and CHPs_CAP'!B$14</f>
        <v>3.0805585818793029</v>
      </c>
      <c r="G1756" s="1">
        <f>'[1]Electricity and CHPs_CAP'!C$14</f>
        <v>3.0805583502812199</v>
      </c>
      <c r="H1756" s="1">
        <f>'[1]Electricity and CHPs_CAP'!D$14</f>
        <v>2.7153806635465116</v>
      </c>
      <c r="I1756" s="1">
        <f>'[1]Electricity and CHPs_CAP'!E$14</f>
        <v>2.6089113970653699</v>
      </c>
      <c r="J1756" s="1">
        <f>'[1]Electricity and CHPs_CAP'!F$14</f>
        <v>1.2356856387330069</v>
      </c>
      <c r="K1756" s="1">
        <f>'[1]Electricity and CHPs_CAP'!G$14</f>
        <v>0</v>
      </c>
    </row>
    <row r="1757" spans="2:11" x14ac:dyDescent="0.35">
      <c r="B1757" s="5" t="str">
        <f t="shared" si="1058"/>
        <v>SPS4</v>
      </c>
      <c r="C1757" s="5" t="str">
        <f t="shared" si="1055"/>
        <v>CH</v>
      </c>
      <c r="D1757" t="s">
        <v>1793</v>
      </c>
      <c r="E1757" t="str">
        <f t="shared" si="1096"/>
        <v>GWe/yr.</v>
      </c>
      <c r="F1757" s="1">
        <f>SUM(F1758:F1760)</f>
        <v>15.403610001059999</v>
      </c>
      <c r="G1757" s="1">
        <f t="shared" ref="G1757:K1757" si="1097">SUM(G1758:G1760)</f>
        <v>16.120024961161558</v>
      </c>
      <c r="H1757" s="1">
        <f t="shared" si="1097"/>
        <v>16.563324129194001</v>
      </c>
      <c r="I1757" s="1">
        <f t="shared" si="1097"/>
        <v>16.637672111881557</v>
      </c>
      <c r="J1757" s="1">
        <f t="shared" si="1097"/>
        <v>16.677135413920638</v>
      </c>
      <c r="K1757" s="1">
        <f t="shared" si="1097"/>
        <v>16.953111284359018</v>
      </c>
    </row>
    <row r="1758" spans="2:11" x14ac:dyDescent="0.35">
      <c r="B1758" s="5" t="str">
        <f t="shared" si="1058"/>
        <v>SPS4</v>
      </c>
      <c r="C1758" s="5" t="str">
        <f t="shared" si="1055"/>
        <v>CH</v>
      </c>
      <c r="D1758" t="s">
        <v>1794</v>
      </c>
      <c r="E1758" t="str">
        <f t="shared" si="1096"/>
        <v>GWe/yr.</v>
      </c>
      <c r="F1758" s="1">
        <f>'[1]Electricity and CHPs_CAP'!B$15</f>
        <v>7.3394300010600002</v>
      </c>
      <c r="G1758" s="1">
        <f>'[1]Electricity and CHPs_CAP'!C$15</f>
        <v>7.3413418160644968</v>
      </c>
      <c r="H1758" s="1">
        <f>'[1]Electricity and CHPs_CAP'!D$15</f>
        <v>7.3446918510300554</v>
      </c>
      <c r="I1758" s="1">
        <f>'[1]Electricity and CHPs_CAP'!E$15</f>
        <v>7.415135349995186</v>
      </c>
      <c r="J1758" s="1">
        <f>'[1]Electricity and CHPs_CAP'!F$15</f>
        <v>7.4545340092187313</v>
      </c>
      <c r="K1758" s="1">
        <f>'[1]Electricity and CHPs_CAP'!G$15</f>
        <v>7.7305087623055684</v>
      </c>
    </row>
    <row r="1759" spans="2:11" x14ac:dyDescent="0.35">
      <c r="B1759" s="5" t="str">
        <f t="shared" si="1058"/>
        <v>SPS4</v>
      </c>
      <c r="C1759" s="5" t="str">
        <f t="shared" si="1055"/>
        <v>CH</v>
      </c>
      <c r="D1759" t="s">
        <v>1795</v>
      </c>
      <c r="E1759" t="str">
        <f t="shared" si="1096"/>
        <v>GWe/yr.</v>
      </c>
      <c r="F1759" s="1">
        <f>'[1]Electricity and CHPs_CAP'!B$16</f>
        <v>4.7247299999999992</v>
      </c>
      <c r="G1759" s="1">
        <f>'[1]Electricity and CHPs_CAP'!C$16</f>
        <v>4.807471632218081</v>
      </c>
      <c r="H1759" s="1">
        <f>'[1]Electricity and CHPs_CAP'!D$16</f>
        <v>4.8589997114060175</v>
      </c>
      <c r="I1759" s="1">
        <f>'[1]Electricity and CHPs_CAP'!E$16</f>
        <v>4.8629041951284435</v>
      </c>
      <c r="J1759" s="1">
        <f>'[1]Electricity and CHPs_CAP'!F$16</f>
        <v>4.8629686476193958</v>
      </c>
      <c r="K1759" s="1">
        <f>'[1]Electricity and CHPs_CAP'!G$16</f>
        <v>4.8629695205917134</v>
      </c>
    </row>
    <row r="1760" spans="2:11" x14ac:dyDescent="0.35">
      <c r="B1760" s="5" t="str">
        <f t="shared" si="1058"/>
        <v>SPS4</v>
      </c>
      <c r="C1760" s="5" t="str">
        <f t="shared" si="1055"/>
        <v>CH</v>
      </c>
      <c r="D1760" t="s">
        <v>1796</v>
      </c>
      <c r="E1760" t="str">
        <f t="shared" si="1096"/>
        <v>GWe/yr.</v>
      </c>
      <c r="F1760" s="1">
        <f>'[1]Electricity and CHPs_CAP'!B$17</f>
        <v>3.3394499999999998</v>
      </c>
      <c r="G1760" s="1">
        <f>'[1]Electricity and CHPs_CAP'!C$17</f>
        <v>3.9712115128789791</v>
      </c>
      <c r="H1760" s="1">
        <f>'[1]Electricity and CHPs_CAP'!D$17</f>
        <v>4.359632566757929</v>
      </c>
      <c r="I1760" s="1">
        <f>'[1]Electricity and CHPs_CAP'!E$17</f>
        <v>4.359632566757929</v>
      </c>
      <c r="J1760" s="1">
        <f>'[1]Electricity and CHPs_CAP'!F$17</f>
        <v>4.3596327570825109</v>
      </c>
      <c r="K1760" s="1">
        <f>'[1]Electricity and CHPs_CAP'!G$17</f>
        <v>4.3596330014617344</v>
      </c>
    </row>
    <row r="1761" spans="2:11" x14ac:dyDescent="0.35">
      <c r="B1761" s="5" t="str">
        <f t="shared" si="1058"/>
        <v>SPS4</v>
      </c>
      <c r="C1761" s="5" t="str">
        <f>C1752</f>
        <v>CH</v>
      </c>
      <c r="D1761" t="s">
        <v>1797</v>
      </c>
      <c r="E1761" t="str">
        <f t="shared" si="1096"/>
        <v>GWe/yr.</v>
      </c>
      <c r="F1761" s="1">
        <f>SUM(F1762:F1764)</f>
        <v>3.2542292344817016E-2</v>
      </c>
      <c r="G1761" s="1">
        <f t="shared" ref="G1761:K1761" si="1098">SUM(G1762:G1764)</f>
        <v>2.8290400448815225E-2</v>
      </c>
      <c r="H1761" s="1">
        <f t="shared" si="1098"/>
        <v>2.5224187393620048E-2</v>
      </c>
      <c r="I1761" s="1">
        <f t="shared" si="1098"/>
        <v>4.4515633270694167E-2</v>
      </c>
      <c r="J1761" s="1">
        <f t="shared" si="1098"/>
        <v>8.7285084028884047E-2</v>
      </c>
      <c r="K1761" s="1">
        <f t="shared" si="1098"/>
        <v>9.273361900701238E-2</v>
      </c>
    </row>
    <row r="1762" spans="2:11" x14ac:dyDescent="0.35">
      <c r="B1762" s="5" t="str">
        <f t="shared" si="1058"/>
        <v>SPS4</v>
      </c>
      <c r="C1762" s="5" t="str">
        <f>C1761</f>
        <v>CH</v>
      </c>
      <c r="D1762" t="s">
        <v>1798</v>
      </c>
      <c r="E1762" t="str">
        <f t="shared" si="1096"/>
        <v>GWe/yr.</v>
      </c>
      <c r="F1762" s="1">
        <f>'[1]Electricity and CHPs_CAP'!B$18</f>
        <v>2.1267309613793001E-2</v>
      </c>
      <c r="G1762" s="1">
        <f>'[1]Electricity and CHPs_CAP'!C$18</f>
        <v>2.1121979063672004E-2</v>
      </c>
      <c r="H1762" s="1">
        <f>'[1]Electricity and CHPs_CAP'!D$18</f>
        <v>1.8142927732218126E-2</v>
      </c>
      <c r="I1762" s="1">
        <f>'[1]Electricity and CHPs_CAP'!E$18</f>
        <v>2.1480112792644338E-2</v>
      </c>
      <c r="J1762" s="1">
        <f>'[1]Electricity and CHPs_CAP'!F$18</f>
        <v>3.922359369335518E-2</v>
      </c>
      <c r="K1762" s="1">
        <f>'[1]Electricity and CHPs_CAP'!G$18</f>
        <v>1.3112712594362898E-2</v>
      </c>
    </row>
    <row r="1763" spans="2:11" x14ac:dyDescent="0.35">
      <c r="B1763" s="5" t="str">
        <f t="shared" si="1058"/>
        <v>SPS4</v>
      </c>
      <c r="C1763" s="5" t="str">
        <f t="shared" ref="C1763:C1764" si="1099">C1762</f>
        <v>CH</v>
      </c>
      <c r="D1763" t="s">
        <v>1799</v>
      </c>
      <c r="E1763" t="str">
        <f t="shared" si="1096"/>
        <v>GWe/yr.</v>
      </c>
      <c r="F1763" s="1">
        <f>'[1]Electricity and CHPs_CAP'!B$28</f>
        <v>2.9701882297072102E-3</v>
      </c>
      <c r="G1763" s="1">
        <f>'[1]Electricity and CHPs_CAP'!C$28</f>
        <v>7.6887785079689068E-4</v>
      </c>
      <c r="H1763" s="1">
        <f>'[1]Electricity and CHPs_CAP'!D$28</f>
        <v>6.7981303621687458E-4</v>
      </c>
      <c r="I1763" s="1">
        <f>'[1]Electricity and CHPs_CAP'!E$28</f>
        <v>4.6295549502646353E-4</v>
      </c>
      <c r="J1763" s="1">
        <f>'[1]Electricity and CHPs_CAP'!F$28</f>
        <v>1.7237589227266683E-4</v>
      </c>
      <c r="K1763" s="1">
        <f>'[1]Electricity and CHPs_CAP'!G$28</f>
        <v>1.119628798158643E-4</v>
      </c>
    </row>
    <row r="1764" spans="2:11" x14ac:dyDescent="0.35">
      <c r="B1764" s="5" t="str">
        <f t="shared" si="1058"/>
        <v>SPS4</v>
      </c>
      <c r="C1764" s="5" t="str">
        <f t="shared" si="1099"/>
        <v>CH</v>
      </c>
      <c r="D1764" t="s">
        <v>1800</v>
      </c>
      <c r="E1764" t="str">
        <f t="shared" si="1096"/>
        <v>GWe/yr.</v>
      </c>
      <c r="F1764" s="1">
        <f>'[1]Electricity and CHPs_CAP'!B$41</f>
        <v>8.3047945013168048E-3</v>
      </c>
      <c r="G1764" s="1">
        <f>'[1]Electricity and CHPs_CAP'!C$41</f>
        <v>6.3995435343463282E-3</v>
      </c>
      <c r="H1764" s="1">
        <f>'[1]Electricity and CHPs_CAP'!D$41</f>
        <v>6.4014466251850486E-3</v>
      </c>
      <c r="I1764" s="1">
        <f>'[1]Electricity and CHPs_CAP'!E$41</f>
        <v>2.2572564983023367E-2</v>
      </c>
      <c r="J1764" s="1">
        <f>'[1]Electricity and CHPs_CAP'!F$41</f>
        <v>4.7889114443256206E-2</v>
      </c>
      <c r="K1764" s="1">
        <f>'[1]Electricity and CHPs_CAP'!G$41</f>
        <v>7.9508943532833623E-2</v>
      </c>
    </row>
    <row r="1765" spans="2:11" x14ac:dyDescent="0.35">
      <c r="B1765" s="5" t="str">
        <f t="shared" si="1058"/>
        <v>SPS4</v>
      </c>
      <c r="C1765" s="5" t="str">
        <f>C1764</f>
        <v>CH</v>
      </c>
      <c r="D1765" t="s">
        <v>1801</v>
      </c>
      <c r="E1765" t="str">
        <f t="shared" si="1096"/>
        <v>GWe/yr.</v>
      </c>
      <c r="F1765" s="1">
        <f>SUM(F1766:F1780)</f>
        <v>0.23065538854151829</v>
      </c>
      <c r="G1765" s="1">
        <f t="shared" ref="G1765:K1765" si="1100">SUM(G1766:G1780)</f>
        <v>0.15544037627058716</v>
      </c>
      <c r="H1765" s="1">
        <f t="shared" si="1100"/>
        <v>0.10442125752575609</v>
      </c>
      <c r="I1765" s="1">
        <f t="shared" si="1100"/>
        <v>0.15411656539548149</v>
      </c>
      <c r="J1765" s="1">
        <f t="shared" si="1100"/>
        <v>0.46498098807876659</v>
      </c>
      <c r="K1765" s="1">
        <f t="shared" si="1100"/>
        <v>1.1798776646759241</v>
      </c>
    </row>
    <row r="1766" spans="2:11" x14ac:dyDescent="0.35">
      <c r="B1766" s="5" t="str">
        <f t="shared" si="1058"/>
        <v>SPS4</v>
      </c>
      <c r="C1766" s="5" t="str">
        <f t="shared" ref="C1766:C1779" si="1101">C1765</f>
        <v>CH</v>
      </c>
      <c r="D1766" t="s">
        <v>1802</v>
      </c>
      <c r="E1766" t="str">
        <f t="shared" si="1096"/>
        <v>GWe/yr.</v>
      </c>
      <c r="F1766" s="1">
        <f>'[1]Electricity and CHPs_CAP'!B$21</f>
        <v>0</v>
      </c>
      <c r="G1766" s="1">
        <f>'[1]Electricity and CHPs_CAP'!C$21</f>
        <v>0</v>
      </c>
      <c r="H1766" s="1">
        <f>'[1]Electricity and CHPs_CAP'!D$21</f>
        <v>0</v>
      </c>
      <c r="I1766" s="1">
        <f>'[1]Electricity and CHPs_CAP'!E$21</f>
        <v>0</v>
      </c>
      <c r="J1766" s="1">
        <f>'[1]Electricity and CHPs_CAP'!F$21</f>
        <v>4.6153867080361002E-3</v>
      </c>
      <c r="K1766" s="1">
        <f>'[1]Electricity and CHPs_CAP'!G$21</f>
        <v>0.24635408814179999</v>
      </c>
    </row>
    <row r="1767" spans="2:11" x14ac:dyDescent="0.35">
      <c r="B1767" s="5" t="str">
        <f t="shared" si="1058"/>
        <v>SPS4</v>
      </c>
      <c r="C1767" s="5" t="str">
        <f t="shared" si="1101"/>
        <v>CH</v>
      </c>
      <c r="D1767" t="s">
        <v>1803</v>
      </c>
      <c r="E1767" t="str">
        <f t="shared" si="1096"/>
        <v>GWe/yr.</v>
      </c>
      <c r="F1767" s="1">
        <f>'[1]Electricity and CHPs_CAP'!B$22</f>
        <v>0</v>
      </c>
      <c r="G1767" s="1">
        <f>'[1]Electricity and CHPs_CAP'!C$22</f>
        <v>0</v>
      </c>
      <c r="H1767" s="1">
        <f>'[1]Electricity and CHPs_CAP'!D$22</f>
        <v>0</v>
      </c>
      <c r="I1767" s="1">
        <f>'[1]Electricity and CHPs_CAP'!E$22</f>
        <v>0</v>
      </c>
      <c r="J1767" s="1">
        <f>'[1]Electricity and CHPs_CAP'!F$22</f>
        <v>3.6757091034560819E-3</v>
      </c>
      <c r="K1767" s="1">
        <f>'[1]Electricity and CHPs_CAP'!G$22</f>
        <v>3.674112598255762E-3</v>
      </c>
    </row>
    <row r="1768" spans="2:11" x14ac:dyDescent="0.35">
      <c r="B1768" s="5" t="str">
        <f t="shared" si="1058"/>
        <v>SPS4</v>
      </c>
      <c r="C1768" s="5" t="str">
        <f t="shared" si="1101"/>
        <v>CH</v>
      </c>
      <c r="D1768" t="s">
        <v>1804</v>
      </c>
      <c r="E1768" t="str">
        <f t="shared" si="1096"/>
        <v>GWe/yr.</v>
      </c>
      <c r="F1768" s="1">
        <f>'[1]Electricity and CHPs_CAP'!B$23</f>
        <v>0</v>
      </c>
      <c r="G1768" s="1">
        <f>'[1]Electricity and CHPs_CAP'!C$23</f>
        <v>0</v>
      </c>
      <c r="H1768" s="1">
        <f>'[1]Electricity and CHPs_CAP'!D$23</f>
        <v>0</v>
      </c>
      <c r="I1768" s="1">
        <f>'[1]Electricity and CHPs_CAP'!E$23</f>
        <v>0</v>
      </c>
      <c r="J1768" s="1">
        <f>'[1]Electricity and CHPs_CAP'!F$23</f>
        <v>0</v>
      </c>
      <c r="K1768" s="1">
        <f>'[1]Electricity and CHPs_CAP'!G$23</f>
        <v>0</v>
      </c>
    </row>
    <row r="1769" spans="2:11" x14ac:dyDescent="0.35">
      <c r="B1769" s="5" t="str">
        <f t="shared" si="1058"/>
        <v>SPS4</v>
      </c>
      <c r="C1769" s="5" t="str">
        <f t="shared" si="1101"/>
        <v>CH</v>
      </c>
      <c r="D1769" t="s">
        <v>1805</v>
      </c>
      <c r="E1769" t="str">
        <f t="shared" si="1096"/>
        <v>GWe/yr.</v>
      </c>
      <c r="F1769" s="1">
        <f>'[1]Electricity and CHPs_CAP'!B$24</f>
        <v>5.0263576039499998E-2</v>
      </c>
      <c r="G1769" s="1">
        <f>'[1]Electricity and CHPs_CAP'!C$24</f>
        <v>1.6755537226632866E-4</v>
      </c>
      <c r="H1769" s="1">
        <f>'[1]Electricity and CHPs_CAP'!D$24</f>
        <v>3.6861597580195582E-4</v>
      </c>
      <c r="I1769" s="1">
        <f>'[1]Electricity and CHPs_CAP'!E$24</f>
        <v>3.7220521587964794E-4</v>
      </c>
      <c r="J1769" s="1">
        <f>'[1]Electricity and CHPs_CAP'!F$24</f>
        <v>6.6348095267336718E-2</v>
      </c>
      <c r="K1769" s="1">
        <f>'[1]Electricity and CHPs_CAP'!G$24</f>
        <v>6.6415394877501727E-2</v>
      </c>
    </row>
    <row r="1770" spans="2:11" x14ac:dyDescent="0.35">
      <c r="B1770" s="5" t="str">
        <f t="shared" si="1058"/>
        <v>SPS4</v>
      </c>
      <c r="C1770" s="5" t="str">
        <f t="shared" si="1101"/>
        <v>CH</v>
      </c>
      <c r="D1770" t="s">
        <v>1806</v>
      </c>
      <c r="E1770" t="str">
        <f t="shared" si="1096"/>
        <v>GWe/yr.</v>
      </c>
      <c r="F1770" s="1">
        <f>'[1]Electricity and CHPs_CAP'!B$29</f>
        <v>0</v>
      </c>
      <c r="G1770" s="1">
        <f>'[1]Electricity and CHPs_CAP'!C$29</f>
        <v>0</v>
      </c>
      <c r="H1770" s="1">
        <f>'[1]Electricity and CHPs_CAP'!D$29</f>
        <v>0</v>
      </c>
      <c r="I1770" s="1">
        <f>'[1]Electricity and CHPs_CAP'!E$29</f>
        <v>0</v>
      </c>
      <c r="J1770" s="1">
        <f>'[1]Electricity and CHPs_CAP'!F$29</f>
        <v>1.5507023438008799E-2</v>
      </c>
      <c r="K1770" s="1">
        <f>'[1]Electricity and CHPs_CAP'!G$29</f>
        <v>7.8490861602357465E-2</v>
      </c>
    </row>
    <row r="1771" spans="2:11" x14ac:dyDescent="0.35">
      <c r="B1771" s="5" t="str">
        <f t="shared" si="1058"/>
        <v>SPS4</v>
      </c>
      <c r="C1771" s="5" t="str">
        <f t="shared" si="1101"/>
        <v>CH</v>
      </c>
      <c r="D1771" t="s">
        <v>1807</v>
      </c>
      <c r="E1771" t="str">
        <f t="shared" si="1096"/>
        <v>GWe/yr.</v>
      </c>
      <c r="F1771" s="1">
        <f>'[1]Electricity and CHPs_CAP'!B$39</f>
        <v>2.9069093609261402E-2</v>
      </c>
      <c r="G1771" s="1">
        <f>'[1]Electricity and CHPs_CAP'!C$39</f>
        <v>2.1499696599049559E-2</v>
      </c>
      <c r="H1771" s="1">
        <f>'[1]Electricity and CHPs_CAP'!D$39</f>
        <v>1.5392475771116076E-2</v>
      </c>
      <c r="I1771" s="1">
        <f>'[1]Electricity and CHPs_CAP'!E$39</f>
        <v>1.5858212465711299E-2</v>
      </c>
      <c r="J1771" s="1">
        <f>'[1]Electricity and CHPs_CAP'!F$39</f>
        <v>1.1190315526737408E-2</v>
      </c>
      <c r="K1771" s="1">
        <f>'[1]Electricity and CHPs_CAP'!G$39</f>
        <v>2.9819573481154062E-3</v>
      </c>
    </row>
    <row r="1772" spans="2:11" x14ac:dyDescent="0.35">
      <c r="B1772" s="5" t="str">
        <f t="shared" si="1058"/>
        <v>SPS4</v>
      </c>
      <c r="C1772" s="5" t="str">
        <f t="shared" si="1101"/>
        <v>CH</v>
      </c>
      <c r="D1772" t="s">
        <v>1808</v>
      </c>
      <c r="E1772" t="str">
        <f t="shared" si="1096"/>
        <v>GWe/yr.</v>
      </c>
      <c r="F1772" s="1">
        <f>'[1]Electricity and CHPs_CAP'!B$40</f>
        <v>0</v>
      </c>
      <c r="G1772" s="1">
        <f>'[1]Electricity and CHPs_CAP'!C$40</f>
        <v>0</v>
      </c>
      <c r="H1772" s="1">
        <f>'[1]Electricity and CHPs_CAP'!D$40</f>
        <v>0</v>
      </c>
      <c r="I1772" s="1">
        <f>'[1]Electricity and CHPs_CAP'!E$40</f>
        <v>0</v>
      </c>
      <c r="J1772" s="1">
        <f>'[1]Electricity and CHPs_CAP'!F$40</f>
        <v>0</v>
      </c>
      <c r="K1772" s="1">
        <f>'[1]Electricity and CHPs_CAP'!G$40</f>
        <v>0</v>
      </c>
    </row>
    <row r="1773" spans="2:11" x14ac:dyDescent="0.35">
      <c r="B1773" s="5" t="str">
        <f t="shared" si="1058"/>
        <v>SPS4</v>
      </c>
      <c r="C1773" s="5" t="str">
        <f t="shared" si="1101"/>
        <v>CH</v>
      </c>
      <c r="D1773" t="s">
        <v>1809</v>
      </c>
      <c r="E1773" t="str">
        <f t="shared" si="1096"/>
        <v>GWe/yr.</v>
      </c>
      <c r="F1773" s="1">
        <f>'[1]Electricity and CHPs_CAP'!B$47</f>
        <v>0</v>
      </c>
      <c r="G1773" s="1">
        <f>'[1]Electricity and CHPs_CAP'!C$47</f>
        <v>0</v>
      </c>
      <c r="H1773" s="1">
        <f>'[1]Electricity and CHPs_CAP'!D$47</f>
        <v>0</v>
      </c>
      <c r="I1773" s="1">
        <f>'[1]Electricity and CHPs_CAP'!E$47</f>
        <v>8.0856294682582995E-5</v>
      </c>
      <c r="J1773" s="1">
        <f>'[1]Electricity and CHPs_CAP'!F$47</f>
        <v>1.8523936244575827E-4</v>
      </c>
      <c r="K1773" s="1">
        <f>'[1]Electricity and CHPs_CAP'!G$47</f>
        <v>1.342397203466718E-4</v>
      </c>
    </row>
    <row r="1774" spans="2:11" x14ac:dyDescent="0.35">
      <c r="B1774" s="5" t="str">
        <f t="shared" si="1058"/>
        <v>SPS4</v>
      </c>
      <c r="C1774" s="5" t="str">
        <f t="shared" si="1101"/>
        <v>CH</v>
      </c>
      <c r="D1774" t="s">
        <v>1810</v>
      </c>
      <c r="E1774" t="str">
        <f t="shared" si="1096"/>
        <v>GWe/yr.</v>
      </c>
      <c r="F1774" s="1">
        <f>'[1]Electricity and CHPs_CAP'!B$48</f>
        <v>4.1311297430992062E-3</v>
      </c>
      <c r="G1774" s="1">
        <f>'[1]Electricity and CHPs_CAP'!C$48</f>
        <v>6.2979735286241634E-4</v>
      </c>
      <c r="H1774" s="1">
        <f>'[1]Electricity and CHPs_CAP'!D$48</f>
        <v>6.6537837642190981E-4</v>
      </c>
      <c r="I1774" s="1">
        <f>'[1]Electricity and CHPs_CAP'!E$48</f>
        <v>6.5184215012688296E-4</v>
      </c>
      <c r="J1774" s="1">
        <f>'[1]Electricity and CHPs_CAP'!F$48</f>
        <v>3.4207973059149173E-4</v>
      </c>
      <c r="K1774" s="1">
        <f>'[1]Electricity and CHPs_CAP'!G$48</f>
        <v>1.8958110273505432E-4</v>
      </c>
    </row>
    <row r="1775" spans="2:11" x14ac:dyDescent="0.35">
      <c r="B1775" s="5" t="str">
        <f t="shared" si="1058"/>
        <v>SPS4</v>
      </c>
      <c r="C1775" s="5" t="str">
        <f t="shared" si="1101"/>
        <v>CH</v>
      </c>
      <c r="D1775" t="s">
        <v>1811</v>
      </c>
      <c r="E1775" t="str">
        <f t="shared" si="1096"/>
        <v>GWe/yr.</v>
      </c>
      <c r="F1775" s="1">
        <f>'[1]Electricity and CHPs_CAP'!B$49</f>
        <v>0</v>
      </c>
      <c r="G1775" s="1">
        <f>'[1]Electricity and CHPs_CAP'!C$49</f>
        <v>0</v>
      </c>
      <c r="H1775" s="1">
        <f>'[1]Electricity and CHPs_CAP'!D$49</f>
        <v>0</v>
      </c>
      <c r="I1775" s="1">
        <f>'[1]Electricity and CHPs_CAP'!E$49</f>
        <v>2.0324396791E-5</v>
      </c>
      <c r="J1775" s="1">
        <f>'[1]Electricity and CHPs_CAP'!F$49</f>
        <v>6.8320309065886541E-5</v>
      </c>
      <c r="K1775" s="1">
        <f>'[1]Electricity and CHPs_CAP'!G$49</f>
        <v>6.3220068223702791E-5</v>
      </c>
    </row>
    <row r="1776" spans="2:11" x14ac:dyDescent="0.35">
      <c r="B1776" s="5" t="str">
        <f t="shared" si="1058"/>
        <v>SPS4</v>
      </c>
      <c r="C1776" s="5" t="str">
        <f t="shared" si="1101"/>
        <v>CH</v>
      </c>
      <c r="D1776" t="s">
        <v>1812</v>
      </c>
      <c r="E1776" t="str">
        <f t="shared" si="1096"/>
        <v>GWe/yr.</v>
      </c>
      <c r="F1776" s="1">
        <f>'[1]Electricity and CHPs_CAP'!B$51</f>
        <v>8.4798297676874912E-3</v>
      </c>
      <c r="G1776" s="1">
        <f>'[1]Electricity and CHPs_CAP'!C$51</f>
        <v>5.2077369350231209E-4</v>
      </c>
      <c r="H1776" s="1">
        <f>'[1]Electricity and CHPs_CAP'!D$51</f>
        <v>5.8233853301714188E-4</v>
      </c>
      <c r="I1776" s="1">
        <f>'[1]Electricity and CHPs_CAP'!E$51</f>
        <v>4.9598010556648212E-2</v>
      </c>
      <c r="J1776" s="1">
        <f>'[1]Electricity and CHPs_CAP'!F$51</f>
        <v>0.27573755659694577</v>
      </c>
      <c r="K1776" s="1">
        <f>'[1]Electricity and CHPs_CAP'!G$51</f>
        <v>0.23129010963368299</v>
      </c>
    </row>
    <row r="1777" spans="2:11" x14ac:dyDescent="0.35">
      <c r="B1777" s="5" t="str">
        <f t="shared" si="1058"/>
        <v>SPS4</v>
      </c>
      <c r="C1777" s="5" t="str">
        <f t="shared" si="1101"/>
        <v>CH</v>
      </c>
      <c r="D1777" t="s">
        <v>1813</v>
      </c>
      <c r="E1777" t="str">
        <f t="shared" si="1096"/>
        <v>GWe/yr.</v>
      </c>
      <c r="F1777" s="1">
        <f>'[1]Electricity and CHPs_CAP'!B$52</f>
        <v>0</v>
      </c>
      <c r="G1777" s="1">
        <f>'[1]Electricity and CHPs_CAP'!C$52</f>
        <v>0</v>
      </c>
      <c r="H1777" s="1">
        <f>'[1]Electricity and CHPs_CAP'!D$52</f>
        <v>0</v>
      </c>
      <c r="I1777" s="1">
        <f>'[1]Electricity and CHPs_CAP'!E$52</f>
        <v>9.4164445473754688E-5</v>
      </c>
      <c r="J1777" s="1">
        <f>'[1]Electricity and CHPs_CAP'!F$52</f>
        <v>5.4343165623711113E-4</v>
      </c>
      <c r="K1777" s="1">
        <f>'[1]Electricity and CHPs_CAP'!G$52</f>
        <v>0.11722554316415945</v>
      </c>
    </row>
    <row r="1778" spans="2:11" x14ac:dyDescent="0.35">
      <c r="B1778" s="5" t="str">
        <f t="shared" si="1058"/>
        <v>SPS4</v>
      </c>
      <c r="C1778" s="5" t="str">
        <f t="shared" si="1101"/>
        <v>CH</v>
      </c>
      <c r="D1778" t="s">
        <v>1814</v>
      </c>
      <c r="E1778" t="str">
        <f t="shared" si="1096"/>
        <v>GWe/yr.</v>
      </c>
      <c r="F1778" s="1">
        <f>'[1]Electricity and CHPs_CAP'!B$54</f>
        <v>7.3512223967056908E-2</v>
      </c>
      <c r="G1778" s="1">
        <f>'[1]Electricity and CHPs_CAP'!C$54</f>
        <v>8.4745513097456843E-2</v>
      </c>
      <c r="H1778" s="1">
        <f>'[1]Electricity and CHPs_CAP'!D$54</f>
        <v>8.4745105171691121E-2</v>
      </c>
      <c r="I1778" s="1">
        <f>'[1]Electricity and CHPs_CAP'!E$54</f>
        <v>8.4745652633710478E-2</v>
      </c>
      <c r="J1778" s="1">
        <f>'[1]Electricity and CHPs_CAP'!F$54</f>
        <v>8.4745572815094428E-2</v>
      </c>
      <c r="K1778" s="1">
        <f>'[1]Electricity and CHPs_CAP'!G$54</f>
        <v>8.4745240950569858E-2</v>
      </c>
    </row>
    <row r="1779" spans="2:11" x14ac:dyDescent="0.35">
      <c r="B1779" s="5" t="str">
        <f t="shared" si="1058"/>
        <v>SPS4</v>
      </c>
      <c r="C1779" s="5" t="str">
        <f t="shared" si="1101"/>
        <v>CH</v>
      </c>
      <c r="D1779" t="s">
        <v>1815</v>
      </c>
      <c r="E1779" t="str">
        <f t="shared" si="1096"/>
        <v>GWe/yr.</v>
      </c>
      <c r="F1779" s="1">
        <f>'[1]Electricity and CHPs_CAP'!B$55</f>
        <v>6.5199535414913301E-2</v>
      </c>
      <c r="G1779" s="1">
        <f>'[1]Electricity and CHPs_CAP'!C$55</f>
        <v>4.7877040155449684E-2</v>
      </c>
      <c r="H1779" s="1">
        <f>'[1]Electricity and CHPs_CAP'!D$55</f>
        <v>2.667343697707894E-3</v>
      </c>
      <c r="I1779" s="1">
        <f>'[1]Electricity and CHPs_CAP'!E$55</f>
        <v>2.6649777505945021E-3</v>
      </c>
      <c r="J1779" s="1">
        <f>'[1]Electricity and CHPs_CAP'!F$55</f>
        <v>1.4810845752230989E-3</v>
      </c>
      <c r="K1779" s="1">
        <f>'[1]Electricity and CHPs_CAP'!G$55</f>
        <v>9.7458353700316812E-5</v>
      </c>
    </row>
    <row r="1780" spans="2:11" x14ac:dyDescent="0.35">
      <c r="B1780" s="5" t="str">
        <f t="shared" ref="B1780:B1843" si="1102">B1779</f>
        <v>SPS4</v>
      </c>
      <c r="C1780" s="5" t="str">
        <f t="shared" ref="C1780" si="1103">C1779</f>
        <v>CH</v>
      </c>
      <c r="D1780" t="s">
        <v>1816</v>
      </c>
      <c r="E1780" t="str">
        <f t="shared" si="1096"/>
        <v>GWe/yr.</v>
      </c>
      <c r="F1780" s="1">
        <f>'[1]Electricity and CHPs_CAP'!B$58</f>
        <v>0</v>
      </c>
      <c r="G1780" s="1">
        <f>'[1]Electricity and CHPs_CAP'!C$58</f>
        <v>0</v>
      </c>
      <c r="H1780" s="1">
        <f>'[1]Electricity and CHPs_CAP'!D$58</f>
        <v>0</v>
      </c>
      <c r="I1780" s="1">
        <f>'[1]Electricity and CHPs_CAP'!E$58</f>
        <v>3.0319485863166301E-5</v>
      </c>
      <c r="J1780" s="1">
        <f>'[1]Electricity and CHPs_CAP'!F$58</f>
        <v>5.4117298958793008E-4</v>
      </c>
      <c r="K1780" s="1">
        <f>'[1]Electricity and CHPs_CAP'!G$58</f>
        <v>0.34821585711447572</v>
      </c>
    </row>
    <row r="1781" spans="2:11" x14ac:dyDescent="0.35">
      <c r="B1781" s="5" t="str">
        <f t="shared" si="1102"/>
        <v>SPS4</v>
      </c>
      <c r="C1781" s="5" t="str">
        <f>C1780</f>
        <v>CH</v>
      </c>
      <c r="D1781" t="s">
        <v>1817</v>
      </c>
      <c r="E1781" t="str">
        <f t="shared" si="1096"/>
        <v>GWe/yr.</v>
      </c>
      <c r="F1781" s="1">
        <f>SUM(F1782:F1787)</f>
        <v>0.40244229547412641</v>
      </c>
      <c r="G1781" s="1">
        <f t="shared" ref="G1781:K1781" si="1104">SUM(G1782:G1787)</f>
        <v>0.36382014176673011</v>
      </c>
      <c r="H1781" s="1">
        <f t="shared" si="1104"/>
        <v>0.3638179081351503</v>
      </c>
      <c r="I1781" s="1">
        <f t="shared" si="1104"/>
        <v>0.36002887775817422</v>
      </c>
      <c r="J1781" s="1">
        <f t="shared" si="1104"/>
        <v>0.38791666551815746</v>
      </c>
      <c r="K1781" s="1">
        <f t="shared" si="1104"/>
        <v>0.40112526142741695</v>
      </c>
    </row>
    <row r="1782" spans="2:11" x14ac:dyDescent="0.35">
      <c r="B1782" s="5" t="str">
        <f t="shared" si="1102"/>
        <v>SPS4</v>
      </c>
      <c r="C1782" s="5" t="str">
        <f t="shared" ref="C1782:C1787" si="1105">C1781</f>
        <v>CH</v>
      </c>
      <c r="D1782" t="s">
        <v>1818</v>
      </c>
      <c r="E1782" t="str">
        <f t="shared" si="1096"/>
        <v>GWe/yr.</v>
      </c>
      <c r="F1782" s="1">
        <f>'[1]Electricity and CHPs_CAP'!B$19</f>
        <v>0.27650789664584419</v>
      </c>
      <c r="G1782" s="1">
        <f>'[1]Electricity and CHPs_CAP'!C$19</f>
        <v>0.27650647409236795</v>
      </c>
      <c r="H1782" s="1">
        <f>'[1]Electricity and CHPs_CAP'!D$19</f>
        <v>0.27650560706433724</v>
      </c>
      <c r="I1782" s="1">
        <f>'[1]Electricity and CHPs_CAP'!E$19</f>
        <v>0.27599244331354722</v>
      </c>
      <c r="J1782" s="1">
        <f>'[1]Electricity and CHPs_CAP'!F$19</f>
        <v>0.30340253021844399</v>
      </c>
      <c r="K1782" s="1">
        <f>'[1]Electricity and CHPs_CAP'!G$19</f>
        <v>0.3176420794003757</v>
      </c>
    </row>
    <row r="1783" spans="2:11" x14ac:dyDescent="0.35">
      <c r="B1783" s="5" t="str">
        <f t="shared" si="1102"/>
        <v>SPS4</v>
      </c>
      <c r="C1783" s="5" t="str">
        <f t="shared" si="1105"/>
        <v>CH</v>
      </c>
      <c r="D1783" t="s">
        <v>1819</v>
      </c>
      <c r="E1783" t="str">
        <f t="shared" si="1096"/>
        <v>GWe/yr.</v>
      </c>
      <c r="F1783" s="1">
        <f>'[1]Electricity and CHPs_CAP'!B$20</f>
        <v>0</v>
      </c>
      <c r="G1783" s="1">
        <f>'[1]Electricity and CHPs_CAP'!C$20</f>
        <v>0</v>
      </c>
      <c r="H1783" s="1">
        <f>'[1]Electricity and CHPs_CAP'!D$20</f>
        <v>0</v>
      </c>
      <c r="I1783" s="1">
        <f>'[1]Electricity and CHPs_CAP'!E$20</f>
        <v>0</v>
      </c>
      <c r="J1783" s="1">
        <f>'[1]Electricity and CHPs_CAP'!F$20</f>
        <v>0</v>
      </c>
      <c r="K1783" s="1">
        <f>'[1]Electricity and CHPs_CAP'!G$20</f>
        <v>0</v>
      </c>
    </row>
    <row r="1784" spans="2:11" x14ac:dyDescent="0.35">
      <c r="B1784" s="5" t="str">
        <f t="shared" si="1102"/>
        <v>SPS4</v>
      </c>
      <c r="C1784" s="5" t="str">
        <f t="shared" si="1105"/>
        <v>CH</v>
      </c>
      <c r="D1784" t="s">
        <v>1820</v>
      </c>
      <c r="E1784" t="str">
        <f t="shared" si="1096"/>
        <v>GWe/yr.</v>
      </c>
      <c r="F1784" s="1">
        <f>'[1]Electricity and CHPs_CAP'!B$26</f>
        <v>7.8399913160872733E-2</v>
      </c>
      <c r="G1784" s="1">
        <f>'[1]Electricity and CHPs_CAP'!C$26</f>
        <v>7.2061511590867253E-2</v>
      </c>
      <c r="H1784" s="1">
        <f>'[1]Electricity and CHPs_CAP'!D$26</f>
        <v>7.2060676354549394E-2</v>
      </c>
      <c r="I1784" s="1">
        <f>'[1]Electricity and CHPs_CAP'!E$26</f>
        <v>7.0489850106039406E-2</v>
      </c>
      <c r="J1784" s="1">
        <f>'[1]Electricity and CHPs_CAP'!F$26</f>
        <v>7.0079152988646518E-2</v>
      </c>
      <c r="K1784" s="1">
        <f>'[1]Electricity and CHPs_CAP'!G$26</f>
        <v>7.029302953640823E-2</v>
      </c>
    </row>
    <row r="1785" spans="2:11" x14ac:dyDescent="0.35">
      <c r="B1785" s="5" t="str">
        <f t="shared" si="1102"/>
        <v>SPS4</v>
      </c>
      <c r="C1785" s="5" t="str">
        <f t="shared" si="1105"/>
        <v>CH</v>
      </c>
      <c r="D1785" t="s">
        <v>1821</v>
      </c>
      <c r="E1785" t="str">
        <f t="shared" si="1096"/>
        <v>GWe/yr.</v>
      </c>
      <c r="F1785" s="1">
        <f>'[1]Electricity and CHPs_CAP'!B$27</f>
        <v>0</v>
      </c>
      <c r="G1785" s="1">
        <f>'[1]Electricity and CHPs_CAP'!C$27</f>
        <v>0</v>
      </c>
      <c r="H1785" s="1">
        <f>'[1]Electricity and CHPs_CAP'!D$27</f>
        <v>0</v>
      </c>
      <c r="I1785" s="1">
        <f>'[1]Electricity and CHPs_CAP'!E$27</f>
        <v>0</v>
      </c>
      <c r="J1785" s="1">
        <f>'[1]Electricity and CHPs_CAP'!F$27</f>
        <v>0</v>
      </c>
      <c r="K1785" s="1">
        <f>'[1]Electricity and CHPs_CAP'!G$27</f>
        <v>0</v>
      </c>
    </row>
    <row r="1786" spans="2:11" x14ac:dyDescent="0.35">
      <c r="B1786" s="5" t="str">
        <f t="shared" si="1102"/>
        <v>SPS4</v>
      </c>
      <c r="C1786" s="5" t="str">
        <f t="shared" si="1105"/>
        <v>CH</v>
      </c>
      <c r="D1786" t="s">
        <v>1822</v>
      </c>
      <c r="E1786" t="str">
        <f t="shared" si="1096"/>
        <v>GWe/yr.</v>
      </c>
      <c r="F1786" s="1">
        <f>'[1]Electricity and CHPs_CAP'!B$44</f>
        <v>4.7534485667409462E-2</v>
      </c>
      <c r="G1786" s="1">
        <f>'[1]Electricity and CHPs_CAP'!C$44</f>
        <v>1.5252156083494915E-2</v>
      </c>
      <c r="H1786" s="1">
        <f>'[1]Electricity and CHPs_CAP'!D$44</f>
        <v>1.5251624716263665E-2</v>
      </c>
      <c r="I1786" s="1">
        <f>'[1]Electricity and CHPs_CAP'!E$44</f>
        <v>1.3546584338587575E-2</v>
      </c>
      <c r="J1786" s="1">
        <f>'[1]Electricity and CHPs_CAP'!F$44</f>
        <v>1.4434982311066932E-2</v>
      </c>
      <c r="K1786" s="1">
        <f>'[1]Electricity and CHPs_CAP'!G$44</f>
        <v>1.3190152490632987E-2</v>
      </c>
    </row>
    <row r="1787" spans="2:11" x14ac:dyDescent="0.35">
      <c r="B1787" s="5" t="str">
        <f t="shared" si="1102"/>
        <v>SPS4</v>
      </c>
      <c r="C1787" s="5" t="str">
        <f t="shared" si="1105"/>
        <v>CH</v>
      </c>
      <c r="D1787" t="s">
        <v>1823</v>
      </c>
      <c r="E1787" t="str">
        <f t="shared" si="1096"/>
        <v>GWe/yr.</v>
      </c>
      <c r="F1787" s="1">
        <f>'[1]Electricity and CHPs_CAP'!B$45</f>
        <v>0</v>
      </c>
      <c r="G1787" s="1">
        <f>'[1]Electricity and CHPs_CAP'!C$45</f>
        <v>0</v>
      </c>
      <c r="H1787" s="1">
        <f>'[1]Electricity and CHPs_CAP'!D$45</f>
        <v>0</v>
      </c>
      <c r="I1787" s="1">
        <f>'[1]Electricity and CHPs_CAP'!E$45</f>
        <v>0</v>
      </c>
      <c r="J1787" s="1">
        <f>'[1]Electricity and CHPs_CAP'!F$45</f>
        <v>0</v>
      </c>
      <c r="K1787" s="1">
        <f>'[1]Electricity and CHPs_CAP'!G$45</f>
        <v>0</v>
      </c>
    </row>
    <row r="1788" spans="2:11" x14ac:dyDescent="0.35">
      <c r="B1788" s="5" t="str">
        <f t="shared" si="1102"/>
        <v>SPS4</v>
      </c>
      <c r="C1788" s="5" t="str">
        <f>C1787</f>
        <v>CH</v>
      </c>
      <c r="D1788" t="s">
        <v>1824</v>
      </c>
      <c r="E1788" t="str">
        <f t="shared" si="1096"/>
        <v>GWe/yr.</v>
      </c>
      <c r="F1788" s="1">
        <f>SUM(F1789:F1795)</f>
        <v>2.3029765119340878E-2</v>
      </c>
      <c r="G1788" s="1">
        <f t="shared" ref="G1788:K1788" si="1106">SUM(G1789:G1795)</f>
        <v>2.233361828879353E-2</v>
      </c>
      <c r="H1788" s="1">
        <f t="shared" si="1106"/>
        <v>4.2141824621904418E-2</v>
      </c>
      <c r="I1788" s="1">
        <f t="shared" si="1106"/>
        <v>9.5379812407281953E-2</v>
      </c>
      <c r="J1788" s="1">
        <f t="shared" si="1106"/>
        <v>0.17561755648536748</v>
      </c>
      <c r="K1788" s="1">
        <f t="shared" si="1106"/>
        <v>0.22137427032658819</v>
      </c>
    </row>
    <row r="1789" spans="2:11" x14ac:dyDescent="0.35">
      <c r="B1789" s="5" t="str">
        <f t="shared" si="1102"/>
        <v>SPS4</v>
      </c>
      <c r="C1789" s="5" t="str">
        <f t="shared" ref="C1789:C1799" si="1107">C1788</f>
        <v>CH</v>
      </c>
      <c r="D1789" t="s">
        <v>1825</v>
      </c>
      <c r="E1789" t="str">
        <f t="shared" si="1096"/>
        <v>GWe/yr.</v>
      </c>
      <c r="F1789" s="1">
        <f>'[1]Electricity and CHPs_CAP'!B$25</f>
        <v>1.5997974049053898E-2</v>
      </c>
      <c r="G1789" s="1">
        <f>'[1]Electricity and CHPs_CAP'!C$25</f>
        <v>3.0461075953739022E-3</v>
      </c>
      <c r="H1789" s="1">
        <f>'[1]Electricity and CHPs_CAP'!D$25</f>
        <v>1.6518185287434095E-4</v>
      </c>
      <c r="I1789" s="1">
        <f>'[1]Electricity and CHPs_CAP'!E$25</f>
        <v>3.7840674225086302E-2</v>
      </c>
      <c r="J1789" s="1">
        <f>'[1]Electricity and CHPs_CAP'!F$25</f>
        <v>5.8538202689941421E-2</v>
      </c>
      <c r="K1789" s="1">
        <f>'[1]Electricity and CHPs_CAP'!G$25</f>
        <v>7.6578711544249237E-2</v>
      </c>
    </row>
    <row r="1790" spans="2:11" x14ac:dyDescent="0.35">
      <c r="B1790" s="5" t="str">
        <f t="shared" si="1102"/>
        <v>SPS4</v>
      </c>
      <c r="C1790" s="5" t="str">
        <f t="shared" si="1107"/>
        <v>CH</v>
      </c>
      <c r="D1790" t="s">
        <v>1826</v>
      </c>
      <c r="E1790" t="str">
        <f t="shared" si="1096"/>
        <v>GWe/yr.</v>
      </c>
      <c r="F1790" s="1">
        <f>'[1]Electricity and CHPs_CAP'!B$31</f>
        <v>0</v>
      </c>
      <c r="G1790" s="1">
        <f>'[1]Electricity and CHPs_CAP'!C$31</f>
        <v>0</v>
      </c>
      <c r="H1790" s="1">
        <f>'[1]Electricity and CHPs_CAP'!D$31</f>
        <v>0</v>
      </c>
      <c r="I1790" s="1">
        <f>'[1]Electricity and CHPs_CAP'!E$31</f>
        <v>0</v>
      </c>
      <c r="J1790" s="1">
        <f>'[1]Electricity and CHPs_CAP'!F$31</f>
        <v>0</v>
      </c>
      <c r="K1790" s="1">
        <f>'[1]Electricity and CHPs_CAP'!G$31</f>
        <v>0</v>
      </c>
    </row>
    <row r="1791" spans="2:11" x14ac:dyDescent="0.35">
      <c r="B1791" s="5" t="str">
        <f t="shared" si="1102"/>
        <v>SPS4</v>
      </c>
      <c r="C1791" s="5" t="str">
        <f t="shared" si="1107"/>
        <v>CH</v>
      </c>
      <c r="D1791" t="s">
        <v>1827</v>
      </c>
      <c r="E1791" t="str">
        <f t="shared" si="1096"/>
        <v>GWe/yr.</v>
      </c>
      <c r="F1791" s="1">
        <f>'[1]Electricity and CHPs_CAP'!B$42</f>
        <v>7.0317910702869801E-3</v>
      </c>
      <c r="G1791" s="1">
        <f>'[1]Electricity and CHPs_CAP'!C$42</f>
        <v>1.9287510693419628E-2</v>
      </c>
      <c r="H1791" s="1">
        <f>'[1]Electricity and CHPs_CAP'!D$42</f>
        <v>4.1976642769030077E-2</v>
      </c>
      <c r="I1791" s="1">
        <f>'[1]Electricity and CHPs_CAP'!E$42</f>
        <v>5.7253345589838307E-2</v>
      </c>
      <c r="J1791" s="1">
        <f>'[1]Electricity and CHPs_CAP'!F$42</f>
        <v>0.1167495949590551</v>
      </c>
      <c r="K1791" s="1">
        <f>'[1]Electricity and CHPs_CAP'!G$42</f>
        <v>0.14461510164157876</v>
      </c>
    </row>
    <row r="1792" spans="2:11" x14ac:dyDescent="0.35">
      <c r="B1792" s="5" t="str">
        <f t="shared" si="1102"/>
        <v>SPS4</v>
      </c>
      <c r="C1792" s="5" t="str">
        <f t="shared" si="1107"/>
        <v>CH</v>
      </c>
      <c r="D1792" t="s">
        <v>1828</v>
      </c>
      <c r="E1792" t="str">
        <f t="shared" si="1096"/>
        <v>GWe/yr.</v>
      </c>
      <c r="F1792" s="1">
        <f>'[1]Electricity and CHPs_CAP'!B$43</f>
        <v>0</v>
      </c>
      <c r="G1792" s="1">
        <f>'[1]Electricity and CHPs_CAP'!C$43</f>
        <v>0</v>
      </c>
      <c r="H1792" s="1">
        <f>'[1]Electricity and CHPs_CAP'!D$43</f>
        <v>0</v>
      </c>
      <c r="I1792" s="1">
        <f>'[1]Electricity and CHPs_CAP'!E$43</f>
        <v>0</v>
      </c>
      <c r="J1792" s="1">
        <f>'[1]Electricity and CHPs_CAP'!F$43</f>
        <v>0</v>
      </c>
      <c r="K1792" s="1">
        <f>'[1]Electricity and CHPs_CAP'!G$43</f>
        <v>0</v>
      </c>
    </row>
    <row r="1793" spans="2:11" x14ac:dyDescent="0.35">
      <c r="B1793" s="5" t="str">
        <f t="shared" si="1102"/>
        <v>SPS4</v>
      </c>
      <c r="C1793" s="5" t="str">
        <f t="shared" si="1107"/>
        <v>CH</v>
      </c>
      <c r="D1793" t="s">
        <v>1829</v>
      </c>
      <c r="E1793" t="str">
        <f t="shared" si="1096"/>
        <v>GWe/yr.</v>
      </c>
      <c r="F1793" s="1">
        <f>'[1]Electricity and CHPs_CAP'!B$50</f>
        <v>0</v>
      </c>
      <c r="G1793" s="1">
        <f>'[1]Electricity and CHPs_CAP'!C$50</f>
        <v>0</v>
      </c>
      <c r="H1793" s="1">
        <f>'[1]Electricity and CHPs_CAP'!D$50</f>
        <v>0</v>
      </c>
      <c r="I1793" s="1">
        <f>'[1]Electricity and CHPs_CAP'!E$50</f>
        <v>7.3826905613140503E-5</v>
      </c>
      <c r="J1793" s="1">
        <f>'[1]Electricity and CHPs_CAP'!F$50</f>
        <v>9.0005068354404049E-5</v>
      </c>
      <c r="K1793" s="1">
        <f>'[1]Electricity and CHPs_CAP'!G$50</f>
        <v>5.3054672328638222E-5</v>
      </c>
    </row>
    <row r="1794" spans="2:11" x14ac:dyDescent="0.35">
      <c r="B1794" s="5" t="str">
        <f t="shared" si="1102"/>
        <v>SPS4</v>
      </c>
      <c r="C1794" s="5" t="str">
        <f t="shared" si="1107"/>
        <v>CH</v>
      </c>
      <c r="D1794" t="s">
        <v>1830</v>
      </c>
      <c r="E1794" t="str">
        <f t="shared" si="1096"/>
        <v>GWe/yr.</v>
      </c>
      <c r="F1794" s="1">
        <f>'[1]Electricity and CHPs_CAP'!B$53</f>
        <v>0</v>
      </c>
      <c r="G1794" s="1">
        <f>'[1]Electricity and CHPs_CAP'!C$53</f>
        <v>0</v>
      </c>
      <c r="H1794" s="1">
        <f>'[1]Electricity and CHPs_CAP'!D$53</f>
        <v>0</v>
      </c>
      <c r="I1794" s="1">
        <f>'[1]Electricity and CHPs_CAP'!E$53</f>
        <v>1.3304922933148961E-4</v>
      </c>
      <c r="J1794" s="1">
        <f>'[1]Electricity and CHPs_CAP'!F$53</f>
        <v>1.4575952402365571E-4</v>
      </c>
      <c r="K1794" s="1">
        <f>'[1]Electricity and CHPs_CAP'!G$53</f>
        <v>8.3371244972501809E-5</v>
      </c>
    </row>
    <row r="1795" spans="2:11" x14ac:dyDescent="0.35">
      <c r="B1795" s="5" t="str">
        <f t="shared" si="1102"/>
        <v>SPS4</v>
      </c>
      <c r="C1795" s="5" t="str">
        <f t="shared" si="1107"/>
        <v>CH</v>
      </c>
      <c r="D1795" t="s">
        <v>1831</v>
      </c>
      <c r="E1795" t="str">
        <f t="shared" si="1096"/>
        <v>GWe/yr.</v>
      </c>
      <c r="F1795" s="1">
        <f>'[1]Electricity and CHPs_CAP'!B$56</f>
        <v>0</v>
      </c>
      <c r="G1795" s="1">
        <f>'[1]Electricity and CHPs_CAP'!C$56</f>
        <v>0</v>
      </c>
      <c r="H1795" s="1">
        <f>'[1]Electricity and CHPs_CAP'!D$56</f>
        <v>0</v>
      </c>
      <c r="I1795" s="1">
        <f>'[1]Electricity and CHPs_CAP'!E$56</f>
        <v>7.8916457412714396E-5</v>
      </c>
      <c r="J1795" s="1">
        <f>'[1]Electricity and CHPs_CAP'!F$56</f>
        <v>9.3994243992900721E-5</v>
      </c>
      <c r="K1795" s="1">
        <f>'[1]Electricity and CHPs_CAP'!G$56</f>
        <v>4.4031223459066862E-5</v>
      </c>
    </row>
    <row r="1796" spans="2:11" x14ac:dyDescent="0.35">
      <c r="B1796" s="5" t="str">
        <f t="shared" si="1102"/>
        <v>SPS4</v>
      </c>
      <c r="C1796" s="5" t="str">
        <f t="shared" si="1107"/>
        <v>CH</v>
      </c>
      <c r="D1796" t="s">
        <v>1832</v>
      </c>
      <c r="E1796" t="str">
        <f t="shared" si="1096"/>
        <v>GWe/yr.</v>
      </c>
      <c r="F1796" s="1">
        <f>F1797</f>
        <v>8.7120000000000003E-2</v>
      </c>
      <c r="G1796" s="1">
        <f t="shared" ref="G1796:K1796" si="1108">G1797</f>
        <v>9.0660029453385652E-2</v>
      </c>
      <c r="H1796" s="1">
        <f t="shared" si="1108"/>
        <v>8.3655946947314652E-2</v>
      </c>
      <c r="I1796" s="1">
        <f t="shared" si="1108"/>
        <v>0.14709073669056399</v>
      </c>
      <c r="J1796" s="1">
        <f t="shared" si="1108"/>
        <v>0.13176658968374469</v>
      </c>
      <c r="K1796" s="1">
        <f t="shared" si="1108"/>
        <v>0.52989437544243401</v>
      </c>
    </row>
    <row r="1797" spans="2:11" x14ac:dyDescent="0.35">
      <c r="B1797" s="5" t="str">
        <f t="shared" si="1102"/>
        <v>SPS4</v>
      </c>
      <c r="C1797" s="5" t="str">
        <f t="shared" si="1107"/>
        <v>CH</v>
      </c>
      <c r="D1797" t="s">
        <v>1833</v>
      </c>
      <c r="E1797" t="str">
        <f t="shared" si="1096"/>
        <v>GWe/yr.</v>
      </c>
      <c r="F1797" s="1">
        <f>'[1]Electricity and CHPs_CAP'!B$33</f>
        <v>8.7120000000000003E-2</v>
      </c>
      <c r="G1797" s="1">
        <f>'[1]Electricity and CHPs_CAP'!C$33</f>
        <v>9.0660029453385652E-2</v>
      </c>
      <c r="H1797" s="1">
        <f>'[1]Electricity and CHPs_CAP'!D$33</f>
        <v>8.3655946947314652E-2</v>
      </c>
      <c r="I1797" s="1">
        <f>'[1]Electricity and CHPs_CAP'!E$33</f>
        <v>0.14709073669056399</v>
      </c>
      <c r="J1797" s="1">
        <f>'[1]Electricity and CHPs_CAP'!F$33</f>
        <v>0.13176658968374469</v>
      </c>
      <c r="K1797" s="1">
        <f>'[1]Electricity and CHPs_CAP'!G$33</f>
        <v>0.52989437544243401</v>
      </c>
    </row>
    <row r="1798" spans="2:11" x14ac:dyDescent="0.35">
      <c r="B1798" s="5" t="str">
        <f t="shared" si="1102"/>
        <v>SPS4</v>
      </c>
      <c r="C1798" s="5" t="str">
        <f t="shared" si="1107"/>
        <v>CH</v>
      </c>
      <c r="D1798" t="s">
        <v>1834</v>
      </c>
      <c r="E1798" t="str">
        <f t="shared" si="1096"/>
        <v>GWe/yr.</v>
      </c>
      <c r="F1798" s="1">
        <f>SUM(F1799:F1803)</f>
        <v>2.9746549999999998</v>
      </c>
      <c r="G1798" s="1">
        <f t="shared" ref="G1798:K1798" si="1109">SUM(G1799:G1803)</f>
        <v>4.3708949282422349</v>
      </c>
      <c r="H1798" s="1">
        <f t="shared" si="1109"/>
        <v>9.1889000389006945</v>
      </c>
      <c r="I1798" s="1">
        <f t="shared" si="1109"/>
        <v>8.986824841026456</v>
      </c>
      <c r="J1798" s="1">
        <f t="shared" si="1109"/>
        <v>14.681353543491612</v>
      </c>
      <c r="K1798" s="1">
        <f t="shared" si="1109"/>
        <v>18.742055235386001</v>
      </c>
    </row>
    <row r="1799" spans="2:11" x14ac:dyDescent="0.35">
      <c r="B1799" s="5" t="str">
        <f t="shared" si="1102"/>
        <v>SPS4</v>
      </c>
      <c r="C1799" s="5" t="str">
        <f t="shared" si="1107"/>
        <v>CH</v>
      </c>
      <c r="D1799" t="s">
        <v>1835</v>
      </c>
      <c r="E1799" t="str">
        <f t="shared" si="1096"/>
        <v>GWe/yr.</v>
      </c>
      <c r="F1799" s="1">
        <f>'[1]Electricity and CHPs_CAP'!B$34</f>
        <v>0</v>
      </c>
      <c r="G1799" s="1">
        <f>'[1]Electricity and CHPs_CAP'!C$34</f>
        <v>0</v>
      </c>
      <c r="H1799" s="1">
        <f>'[1]Electricity and CHPs_CAP'!D$34</f>
        <v>4.49274651833294E-2</v>
      </c>
      <c r="I1799" s="1">
        <f>'[1]Electricity and CHPs_CAP'!E$34</f>
        <v>4.4933854765997629E-2</v>
      </c>
      <c r="J1799" s="1">
        <f>'[1]Electricity and CHPs_CAP'!F$34</f>
        <v>0.41014785757472988</v>
      </c>
      <c r="K1799" s="1">
        <f>'[1]Electricity and CHPs_CAP'!G$34</f>
        <v>1.6918290801653983</v>
      </c>
    </row>
    <row r="1800" spans="2:11" x14ac:dyDescent="0.35">
      <c r="B1800" s="5" t="str">
        <f t="shared" si="1102"/>
        <v>SPS4</v>
      </c>
      <c r="C1800" s="5" t="str">
        <f t="shared" ref="C1800:C1815" si="1110">C1799</f>
        <v>CH</v>
      </c>
      <c r="D1800" t="s">
        <v>1836</v>
      </c>
      <c r="E1800" t="str">
        <f t="shared" si="1096"/>
        <v>GWe/yr.</v>
      </c>
      <c r="F1800" s="1">
        <f>'[1]Electricity and CHPs_CAP'!B$35</f>
        <v>1.1186210000000001</v>
      </c>
      <c r="G1800" s="1">
        <f>'[1]Electricity and CHPs_CAP'!C$35</f>
        <v>1.6529270613988962</v>
      </c>
      <c r="H1800" s="1">
        <f>'[1]Electricity and CHPs_CAP'!D$35</f>
        <v>3.5611884773938201</v>
      </c>
      <c r="I1800" s="1">
        <f>'[1]Electricity and CHPs_CAP'!E$35</f>
        <v>3.49228246604953</v>
      </c>
      <c r="J1800" s="1">
        <f>'[1]Electricity and CHPs_CAP'!F$35</f>
        <v>9.1884451767812969</v>
      </c>
      <c r="K1800" s="1">
        <f>'[1]Electricity and CHPs_CAP'!G$35</f>
        <v>11.9282696065896</v>
      </c>
    </row>
    <row r="1801" spans="2:11" x14ac:dyDescent="0.35">
      <c r="B1801" s="5" t="str">
        <f t="shared" si="1102"/>
        <v>SPS4</v>
      </c>
      <c r="C1801" s="5" t="str">
        <f t="shared" si="1110"/>
        <v>CH</v>
      </c>
      <c r="D1801" t="s">
        <v>1837</v>
      </c>
      <c r="E1801" t="str">
        <f t="shared" si="1096"/>
        <v>GWe/yr.</v>
      </c>
      <c r="F1801" s="1">
        <f>'[1]Electricity and CHPs_CAP'!B$36</f>
        <v>0.67885700000000004</v>
      </c>
      <c r="G1801" s="1">
        <f>'[1]Electricity and CHPs_CAP'!C$36</f>
        <v>1.1559102288890197</v>
      </c>
      <c r="H1801" s="1">
        <f>'[1]Electricity and CHPs_CAP'!D$36</f>
        <v>1.2899967959554544</v>
      </c>
      <c r="I1801" s="1">
        <f>'[1]Electricity and CHPs_CAP'!E$36</f>
        <v>1.2531145423278398</v>
      </c>
      <c r="J1801" s="1">
        <f>'[1]Electricity and CHPs_CAP'!F$36</f>
        <v>0.44721723223580806</v>
      </c>
      <c r="K1801" s="1">
        <f>'[1]Electricity and CHPs_CAP'!G$36</f>
        <v>1.439347320777112E-3</v>
      </c>
    </row>
    <row r="1802" spans="2:11" x14ac:dyDescent="0.35">
      <c r="B1802" s="5" t="str">
        <f t="shared" si="1102"/>
        <v>SPS4</v>
      </c>
      <c r="C1802" s="5" t="str">
        <f t="shared" si="1110"/>
        <v>CH</v>
      </c>
      <c r="D1802" t="s">
        <v>1838</v>
      </c>
      <c r="E1802" t="str">
        <f t="shared" si="1096"/>
        <v>GWe/yr.</v>
      </c>
      <c r="F1802" s="1">
        <f>'[1]Electricity and CHPs_CAP'!B$37</f>
        <v>0.27424799999999999</v>
      </c>
      <c r="G1802" s="1">
        <f>'[1]Electricity and CHPs_CAP'!C$37</f>
        <v>0.43895633349394841</v>
      </c>
      <c r="H1802" s="1">
        <f>'[1]Electricity and CHPs_CAP'!D$37</f>
        <v>1.1128717815427411</v>
      </c>
      <c r="I1802" s="1">
        <f>'[1]Electricity and CHPs_CAP'!E$37</f>
        <v>1.1011475752806583</v>
      </c>
      <c r="J1802" s="1">
        <f>'[1]Electricity and CHPs_CAP'!F$37</f>
        <v>1.2163531390621589</v>
      </c>
      <c r="K1802" s="1">
        <f>'[1]Electricity and CHPs_CAP'!G$37</f>
        <v>1.3436054775851241</v>
      </c>
    </row>
    <row r="1803" spans="2:11" x14ac:dyDescent="0.35">
      <c r="B1803" s="5" t="str">
        <f t="shared" si="1102"/>
        <v>SPS4</v>
      </c>
      <c r="C1803" s="5" t="str">
        <f t="shared" si="1110"/>
        <v>CH</v>
      </c>
      <c r="D1803" t="s">
        <v>1839</v>
      </c>
      <c r="E1803" t="str">
        <f t="shared" si="1096"/>
        <v>GWe/yr.</v>
      </c>
      <c r="F1803" s="1">
        <f>'[1]Electricity and CHPs_CAP'!B$38</f>
        <v>0.90292899999999998</v>
      </c>
      <c r="G1803" s="1">
        <f>'[1]Electricity and CHPs_CAP'!C$38</f>
        <v>1.1231013044603706</v>
      </c>
      <c r="H1803" s="1">
        <f>'[1]Electricity and CHPs_CAP'!D$38</f>
        <v>3.1799155188253501</v>
      </c>
      <c r="I1803" s="1">
        <f>'[1]Electricity and CHPs_CAP'!E$38</f>
        <v>3.0953464026024302</v>
      </c>
      <c r="J1803" s="1">
        <f>'[1]Electricity and CHPs_CAP'!F$38</f>
        <v>3.419190137837619</v>
      </c>
      <c r="K1803" s="1">
        <f>'[1]Electricity and CHPs_CAP'!G$38</f>
        <v>3.7769117237251</v>
      </c>
    </row>
    <row r="1804" spans="2:11" x14ac:dyDescent="0.35">
      <c r="B1804" s="5" t="str">
        <f t="shared" si="1102"/>
        <v>SPS4</v>
      </c>
      <c r="C1804" s="5" t="str">
        <f>C1807</f>
        <v>CH</v>
      </c>
      <c r="D1804" t="s">
        <v>1840</v>
      </c>
      <c r="E1804" t="str">
        <f t="shared" si="1096"/>
        <v>GWe/yr.</v>
      </c>
      <c r="F1804" s="1">
        <f>'[1]Electricity and CHPs_CAP'!B$32</f>
        <v>0</v>
      </c>
      <c r="G1804" s="1">
        <f>'[1]Electricity and CHPs_CAP'!C$32</f>
        <v>0</v>
      </c>
      <c r="H1804" s="1">
        <f>'[1]Electricity and CHPs_CAP'!D$32</f>
        <v>0</v>
      </c>
      <c r="I1804" s="1">
        <f>'[1]Electricity and CHPs_CAP'!E$32</f>
        <v>0</v>
      </c>
      <c r="J1804" s="1">
        <f>'[1]Electricity and CHPs_CAP'!F$32</f>
        <v>1.4537216929298401E-4</v>
      </c>
      <c r="K1804" s="1">
        <f>'[1]Electricity and CHPs_CAP'!G$32</f>
        <v>9.3183126665904092E-4</v>
      </c>
    </row>
    <row r="1805" spans="2:11" x14ac:dyDescent="0.35">
      <c r="B1805" s="5" t="str">
        <f t="shared" si="1102"/>
        <v>SPS4</v>
      </c>
      <c r="C1805" s="5" t="str">
        <f t="shared" ref="C1805" si="1111">C1804</f>
        <v>CH</v>
      </c>
      <c r="D1805" t="s">
        <v>1841</v>
      </c>
      <c r="E1805" t="str">
        <f t="shared" si="1096"/>
        <v>GWe/yr.</v>
      </c>
      <c r="F1805" s="1">
        <f>F1804</f>
        <v>0</v>
      </c>
      <c r="G1805" s="1">
        <f t="shared" ref="G1805:K1805" si="1112">G1804</f>
        <v>0</v>
      </c>
      <c r="H1805" s="1">
        <f t="shared" si="1112"/>
        <v>0</v>
      </c>
      <c r="I1805" s="1">
        <f t="shared" si="1112"/>
        <v>0</v>
      </c>
      <c r="J1805" s="1">
        <f t="shared" si="1112"/>
        <v>1.4537216929298401E-4</v>
      </c>
      <c r="K1805" s="1">
        <f t="shared" si="1112"/>
        <v>9.3183126665904092E-4</v>
      </c>
    </row>
    <row r="1806" spans="2:11" x14ac:dyDescent="0.35">
      <c r="B1806" s="5" t="str">
        <f t="shared" si="1102"/>
        <v>SPS4</v>
      </c>
      <c r="C1806" s="5" t="str">
        <f>C1803</f>
        <v>CH</v>
      </c>
      <c r="D1806" t="s">
        <v>1842</v>
      </c>
      <c r="E1806" t="str">
        <f t="shared" si="1096"/>
        <v>GWe/yr.</v>
      </c>
      <c r="F1806" s="1">
        <f t="shared" ref="F1806:K1806" si="1113">SUM(F1807:F1809)</f>
        <v>0</v>
      </c>
      <c r="G1806" s="1">
        <f t="shared" si="1113"/>
        <v>0</v>
      </c>
      <c r="H1806" s="1">
        <f t="shared" si="1113"/>
        <v>0</v>
      </c>
      <c r="I1806" s="1">
        <f t="shared" si="1113"/>
        <v>0</v>
      </c>
      <c r="J1806" s="1">
        <f t="shared" si="1113"/>
        <v>0</v>
      </c>
      <c r="K1806" s="1">
        <f t="shared" si="1113"/>
        <v>0</v>
      </c>
    </row>
    <row r="1807" spans="2:11" x14ac:dyDescent="0.35">
      <c r="B1807" s="5" t="str">
        <f t="shared" si="1102"/>
        <v>SPS4</v>
      </c>
      <c r="C1807" s="5" t="str">
        <f t="shared" si="1110"/>
        <v>CH</v>
      </c>
      <c r="D1807" t="s">
        <v>1843</v>
      </c>
      <c r="E1807" t="str">
        <f t="shared" si="1096"/>
        <v>GWe/yr.</v>
      </c>
      <c r="F1807" s="1">
        <f>'[1]Electricity and CHPs_CAP'!B$30</f>
        <v>0</v>
      </c>
      <c r="G1807" s="1">
        <f>'[1]Electricity and CHPs_CAP'!C$30</f>
        <v>0</v>
      </c>
      <c r="H1807" s="1">
        <f>'[1]Electricity and CHPs_CAP'!D$30</f>
        <v>0</v>
      </c>
      <c r="I1807" s="1">
        <f>'[1]Electricity and CHPs_CAP'!E$30</f>
        <v>0</v>
      </c>
      <c r="J1807" s="1">
        <f>'[1]Electricity and CHPs_CAP'!F$30</f>
        <v>0</v>
      </c>
      <c r="K1807" s="1">
        <f>'[1]Electricity and CHPs_CAP'!G$30</f>
        <v>0</v>
      </c>
    </row>
    <row r="1808" spans="2:11" x14ac:dyDescent="0.35">
      <c r="B1808" s="5" t="str">
        <f t="shared" si="1102"/>
        <v>SPS4</v>
      </c>
      <c r="C1808" s="5" t="str">
        <f>C1804</f>
        <v>CH</v>
      </c>
      <c r="D1808" t="s">
        <v>1844</v>
      </c>
      <c r="E1808" t="str">
        <f t="shared" si="1096"/>
        <v>GWe/yr.</v>
      </c>
      <c r="F1808" s="1">
        <f>'[1]Electricity and CHPs_CAP'!B$46</f>
        <v>0</v>
      </c>
      <c r="G1808" s="1">
        <f>'[1]Electricity and CHPs_CAP'!C$46</f>
        <v>0</v>
      </c>
      <c r="H1808" s="1">
        <f>'[1]Electricity and CHPs_CAP'!D$46</f>
        <v>0</v>
      </c>
      <c r="I1808" s="1">
        <f>'[1]Electricity and CHPs_CAP'!E$46</f>
        <v>0</v>
      </c>
      <c r="J1808" s="1">
        <f>'[1]Electricity and CHPs_CAP'!F$46</f>
        <v>0</v>
      </c>
      <c r="K1808" s="1">
        <f>'[1]Electricity and CHPs_CAP'!G$46</f>
        <v>0</v>
      </c>
    </row>
    <row r="1809" spans="2:11" x14ac:dyDescent="0.35">
      <c r="B1809" s="5" t="str">
        <f t="shared" si="1102"/>
        <v>SPS4</v>
      </c>
      <c r="C1809" s="5" t="str">
        <f t="shared" si="1110"/>
        <v>CH</v>
      </c>
      <c r="D1809" t="s">
        <v>1845</v>
      </c>
      <c r="E1809" t="str">
        <f t="shared" si="1096"/>
        <v>GWe/yr.</v>
      </c>
      <c r="F1809" s="1">
        <f>'[1]Electricity and CHPs_CAP'!B$57</f>
        <v>0</v>
      </c>
      <c r="G1809" s="1">
        <f>'[1]Electricity and CHPs_CAP'!C$57</f>
        <v>0</v>
      </c>
      <c r="H1809" s="1">
        <f>'[1]Electricity and CHPs_CAP'!D$57</f>
        <v>0</v>
      </c>
      <c r="I1809" s="1">
        <f>'[1]Electricity and CHPs_CAP'!E$57</f>
        <v>0</v>
      </c>
      <c r="J1809" s="1">
        <f>'[1]Electricity and CHPs_CAP'!F$57</f>
        <v>0</v>
      </c>
      <c r="K1809" s="1">
        <f>'[1]Electricity and CHPs_CAP'!G$57</f>
        <v>0</v>
      </c>
    </row>
    <row r="1810" spans="2:11" x14ac:dyDescent="0.35">
      <c r="B1810" s="5" t="str">
        <f t="shared" si="1102"/>
        <v>SPS4</v>
      </c>
      <c r="C1810" s="5" t="str">
        <f t="shared" si="1110"/>
        <v>CH</v>
      </c>
      <c r="D1810" t="s">
        <v>1846</v>
      </c>
      <c r="E1810" t="str">
        <f t="shared" si="1096"/>
        <v>GWe/yr.</v>
      </c>
      <c r="F1810" s="1">
        <f>SUM(F1811:F1817)</f>
        <v>0.1035072552137479</v>
      </c>
      <c r="G1810" s="1">
        <f t="shared" ref="G1810:K1810" si="1114">SUM(G1811:G1817)</f>
        <v>0.10350740543789945</v>
      </c>
      <c r="H1810" s="1">
        <f t="shared" si="1114"/>
        <v>0.10352132478376128</v>
      </c>
      <c r="I1810" s="1">
        <f t="shared" si="1114"/>
        <v>0.19723506309745978</v>
      </c>
      <c r="J1810" s="1">
        <f t="shared" si="1114"/>
        <v>0.29820523797640358</v>
      </c>
      <c r="K1810" s="1">
        <f t="shared" si="1114"/>
        <v>0.50301157923529771</v>
      </c>
    </row>
    <row r="1811" spans="2:11" x14ac:dyDescent="0.35">
      <c r="B1811" s="5" t="str">
        <f t="shared" si="1102"/>
        <v>SPS4</v>
      </c>
      <c r="C1811" s="5" t="str">
        <f t="shared" si="1110"/>
        <v>CH</v>
      </c>
      <c r="D1811" t="s">
        <v>1847</v>
      </c>
      <c r="E1811" t="str">
        <f t="shared" si="1096"/>
        <v>GWe/yr.</v>
      </c>
      <c r="F1811" s="1">
        <f>'[1]Electricity and CHPs_CAP'!B$63</f>
        <v>0.1</v>
      </c>
      <c r="G1811" s="1">
        <f>'[1]Electricity and CHPs_CAP'!C$63</f>
        <v>9.9997204215070301E-2</v>
      </c>
      <c r="H1811" s="1">
        <f>'[1]Electricity and CHPs_CAP'!D$63</f>
        <v>9.9996810575134237E-2</v>
      </c>
      <c r="I1811" s="1">
        <f>'[1]Electricity and CHPs_CAP'!E$63</f>
        <v>9.9996579743461614E-2</v>
      </c>
      <c r="J1811" s="1">
        <f>'[1]Electricity and CHPs_CAP'!F$63</f>
        <v>9.9997355823325473E-2</v>
      </c>
      <c r="K1811" s="1">
        <f>'[1]Electricity and CHPs_CAP'!G$63</f>
        <v>9.9998208857812618E-2</v>
      </c>
    </row>
    <row r="1812" spans="2:11" x14ac:dyDescent="0.35">
      <c r="B1812" s="5" t="str">
        <f t="shared" si="1102"/>
        <v>SPS4</v>
      </c>
      <c r="C1812" s="5" t="str">
        <f t="shared" si="1110"/>
        <v>CH</v>
      </c>
      <c r="D1812" t="s">
        <v>1848</v>
      </c>
      <c r="E1812" t="str">
        <f t="shared" si="1096"/>
        <v>GWe/yr.</v>
      </c>
      <c r="F1812" s="1">
        <f>'[1]Electricity and CHPs_CAP'!B$64</f>
        <v>5.9779626547404698E-4</v>
      </c>
      <c r="G1812" s="1">
        <f>'[1]Electricity and CHPs_CAP'!C$64</f>
        <v>5.9810850172073394E-4</v>
      </c>
      <c r="H1812" s="1">
        <f>'[1]Electricity and CHPs_CAP'!D$64</f>
        <v>6.0163158941364022E-4</v>
      </c>
      <c r="I1812" s="1">
        <f>'[1]Electricity and CHPs_CAP'!E$64</f>
        <v>5.4556141649370288E-4</v>
      </c>
      <c r="J1812" s="1">
        <f>'[1]Electricity and CHPs_CAP'!F$64</f>
        <v>3.45497477754853E-2</v>
      </c>
      <c r="K1812" s="1">
        <f>'[1]Electricity and CHPs_CAP'!G$64</f>
        <v>0.19577784538008003</v>
      </c>
    </row>
    <row r="1813" spans="2:11" x14ac:dyDescent="0.35">
      <c r="B1813" s="5" t="str">
        <f t="shared" si="1102"/>
        <v>SPS4</v>
      </c>
      <c r="C1813" s="5" t="str">
        <f t="shared" si="1110"/>
        <v>CH</v>
      </c>
      <c r="D1813" t="s">
        <v>1849</v>
      </c>
      <c r="E1813" t="str">
        <f t="shared" si="1096"/>
        <v>GWe/yr.</v>
      </c>
      <c r="F1813" s="1">
        <f>'[1]Electricity and CHPs_CAP'!B$65</f>
        <v>4.4044716866207298E-4</v>
      </c>
      <c r="G1813" s="1">
        <f>'[1]Electricity and CHPs_CAP'!C$65</f>
        <v>4.4063679380253792E-4</v>
      </c>
      <c r="H1813" s="1">
        <f>'[1]Electricity and CHPs_CAP'!D$65</f>
        <v>4.431184004903696E-4</v>
      </c>
      <c r="I1813" s="1">
        <f>'[1]Electricity and CHPs_CAP'!E$65</f>
        <v>4.1510897806699878E-4</v>
      </c>
      <c r="J1813" s="1">
        <f>'[1]Electricity and CHPs_CAP'!F$65</f>
        <v>2.3996273509438002E-3</v>
      </c>
      <c r="K1813" s="1">
        <f>'[1]Electricity and CHPs_CAP'!G$65</f>
        <v>5.4862740392225863E-3</v>
      </c>
    </row>
    <row r="1814" spans="2:11" x14ac:dyDescent="0.35">
      <c r="B1814" s="5" t="str">
        <f t="shared" si="1102"/>
        <v>SPS4</v>
      </c>
      <c r="C1814" s="5" t="str">
        <f t="shared" si="1110"/>
        <v>CH</v>
      </c>
      <c r="D1814" t="s">
        <v>1850</v>
      </c>
      <c r="E1814" t="str">
        <f t="shared" si="1096"/>
        <v>GWe/yr.</v>
      </c>
      <c r="F1814" s="1">
        <f>'[1]Electricity and CHPs_CAP'!B$66</f>
        <v>4.1128930436867454E-4</v>
      </c>
      <c r="G1814" s="1">
        <f>'[1]Electricity and CHPs_CAP'!C$66</f>
        <v>4.1169595112406992E-4</v>
      </c>
      <c r="H1814" s="1">
        <f>'[1]Electricity and CHPs_CAP'!D$66</f>
        <v>4.1300735430558808E-4</v>
      </c>
      <c r="I1814" s="1">
        <f>'[1]Electricity and CHPs_CAP'!E$66</f>
        <v>1.9212785566518922E-2</v>
      </c>
      <c r="J1814" s="1">
        <f>'[1]Electricity and CHPs_CAP'!F$66</f>
        <v>0.12070794404073798</v>
      </c>
      <c r="K1814" s="1">
        <f>'[1]Electricity and CHPs_CAP'!G$66</f>
        <v>0.17419066712255246</v>
      </c>
    </row>
    <row r="1815" spans="2:11" x14ac:dyDescent="0.35">
      <c r="B1815" s="5" t="str">
        <f t="shared" si="1102"/>
        <v>SPS4</v>
      </c>
      <c r="C1815" s="5" t="str">
        <f t="shared" si="1110"/>
        <v>CH</v>
      </c>
      <c r="D1815" t="s">
        <v>1856</v>
      </c>
      <c r="E1815" t="str">
        <f t="shared" si="1096"/>
        <v>GWe/yr.</v>
      </c>
      <c r="F1815" s="1">
        <f>'[1]Electricity and CHPs_CAP'!B$67</f>
        <v>8.2248575576289906E-4</v>
      </c>
      <c r="G1815" s="1">
        <f>'[1]Electricity and CHPs_CAP'!C$67</f>
        <v>8.232999737370736E-4</v>
      </c>
      <c r="H1815" s="1">
        <f>'[1]Electricity and CHPs_CAP'!D$67</f>
        <v>8.2613962913935155E-4</v>
      </c>
      <c r="I1815" s="1">
        <f>'[1]Electricity and CHPs_CAP'!E$67</f>
        <v>2.9967761747155146E-2</v>
      </c>
      <c r="J1815" s="1">
        <f>'[1]Electricity and CHPs_CAP'!F$67</f>
        <v>1.3989888882099132E-2</v>
      </c>
      <c r="K1815" s="1">
        <f>'[1]Electricity and CHPs_CAP'!G$67</f>
        <v>1.0383606542652909E-2</v>
      </c>
    </row>
    <row r="1816" spans="2:11" x14ac:dyDescent="0.35">
      <c r="B1816" s="5" t="str">
        <f t="shared" si="1102"/>
        <v>SPS4</v>
      </c>
      <c r="C1816" s="5" t="str">
        <f t="shared" ref="C1816:C1817" si="1115">C1815</f>
        <v>CH</v>
      </c>
      <c r="D1816" t="s">
        <v>1851</v>
      </c>
      <c r="E1816" t="str">
        <f t="shared" si="1096"/>
        <v>GWe/yr.</v>
      </c>
      <c r="F1816" s="1">
        <f>'[1]Electricity and CHPs_CAP'!B$68</f>
        <v>8.2227586431100398E-4</v>
      </c>
      <c r="G1816" s="1">
        <f>'[1]Electricity and CHPs_CAP'!C$68</f>
        <v>8.2309022142786005E-4</v>
      </c>
      <c r="H1816" s="1">
        <f>'[1]Electricity and CHPs_CAP'!D$68</f>
        <v>8.2592553050196075E-4</v>
      </c>
      <c r="I1816" s="1">
        <f>'[1]Electricity and CHPs_CAP'!E$68</f>
        <v>3.0059023296629853E-2</v>
      </c>
      <c r="J1816" s="1">
        <f>'[1]Electricity and CHPs_CAP'!F$68</f>
        <v>1.599198463405338E-2</v>
      </c>
      <c r="K1816" s="1">
        <f>'[1]Electricity and CHPs_CAP'!G$68</f>
        <v>1.0382846998503628E-2</v>
      </c>
    </row>
    <row r="1817" spans="2:11" x14ac:dyDescent="0.35">
      <c r="B1817" s="5" t="str">
        <f t="shared" si="1102"/>
        <v>SPS4</v>
      </c>
      <c r="C1817" s="5" t="str">
        <f t="shared" si="1115"/>
        <v>CH</v>
      </c>
      <c r="D1817" t="s">
        <v>1852</v>
      </c>
      <c r="E1817" t="str">
        <f t="shared" si="1096"/>
        <v>GWe/yr.</v>
      </c>
      <c r="F1817" s="1">
        <f>'[1]Electricity and CHPs_CAP'!B$69</f>
        <v>4.1296085516919769E-4</v>
      </c>
      <c r="G1817" s="1">
        <f>'[1]Electricity and CHPs_CAP'!C$69</f>
        <v>4.133697810168763E-4</v>
      </c>
      <c r="H1817" s="1">
        <f>'[1]Electricity and CHPs_CAP'!D$69</f>
        <v>4.1469170477611579E-4</v>
      </c>
      <c r="I1817" s="1">
        <f>'[1]Electricity and CHPs_CAP'!E$69</f>
        <v>1.7038242349133533E-2</v>
      </c>
      <c r="J1817" s="1">
        <f>'[1]Electricity and CHPs_CAP'!F$69</f>
        <v>1.0568689469758516E-2</v>
      </c>
      <c r="K1817" s="1">
        <f>'[1]Electricity and CHPs_CAP'!G$69</f>
        <v>6.7921302944734868E-3</v>
      </c>
    </row>
    <row r="1818" spans="2:11" x14ac:dyDescent="0.35">
      <c r="B1818" s="5" t="str">
        <f t="shared" si="1102"/>
        <v>SPS4</v>
      </c>
      <c r="C1818" s="5" t="str">
        <f t="shared" ref="C1818" si="1116">C1817</f>
        <v>CH</v>
      </c>
      <c r="D1818" s="2" t="s">
        <v>1861</v>
      </c>
      <c r="E1818" s="2" t="s">
        <v>1859</v>
      </c>
      <c r="F1818" s="3">
        <f>SUM(F1819,F1838)</f>
        <v>11.163758820621727</v>
      </c>
      <c r="G1818" s="3">
        <f t="shared" ref="G1818:K1818" si="1117">SUM(G1819,G1838)</f>
        <v>11.891829007556794</v>
      </c>
      <c r="H1818" s="3">
        <f t="shared" si="1117"/>
        <v>12.606798611339469</v>
      </c>
      <c r="I1818" s="3">
        <f t="shared" si="1117"/>
        <v>13.556012642966042</v>
      </c>
      <c r="J1818" s="3">
        <f t="shared" si="1117"/>
        <v>9.6722012292237025</v>
      </c>
      <c r="K1818" s="3">
        <f t="shared" si="1117"/>
        <v>9.5036434761724529</v>
      </c>
    </row>
    <row r="1819" spans="2:11" x14ac:dyDescent="0.35">
      <c r="B1819" s="5" t="str">
        <f t="shared" si="1102"/>
        <v>SPS4</v>
      </c>
      <c r="C1819" s="5" t="str">
        <f>C1817</f>
        <v>CH</v>
      </c>
      <c r="D1819" t="s">
        <v>1899</v>
      </c>
      <c r="E1819" t="str">
        <f>E1818</f>
        <v>GWth/yr.</v>
      </c>
      <c r="F1819" s="1">
        <f>SUM(F1820,F1823,F1825,F1828,F1830,F1832,F1834,F1836)</f>
        <v>9.3027699025736528</v>
      </c>
      <c r="G1819" s="1">
        <f t="shared" ref="G1819:K1819" si="1118">SUM(G1820,G1823,G1825,G1828,G1830,G1832,G1834,G1836)</f>
        <v>9.8732376688207975</v>
      </c>
      <c r="H1819" s="1">
        <f t="shared" si="1118"/>
        <v>10.599414528715002</v>
      </c>
      <c r="I1819" s="1">
        <f t="shared" si="1118"/>
        <v>11.36768753190329</v>
      </c>
      <c r="J1819" s="1">
        <f t="shared" si="1118"/>
        <v>7.7751644088133105</v>
      </c>
      <c r="K1819" s="1">
        <f t="shared" si="1118"/>
        <v>7.3520072982624436</v>
      </c>
    </row>
    <row r="1820" spans="2:11" x14ac:dyDescent="0.35">
      <c r="B1820" s="5" t="str">
        <f t="shared" si="1102"/>
        <v>SPS4</v>
      </c>
      <c r="C1820" s="5" t="str">
        <f>C1818</f>
        <v>CH</v>
      </c>
      <c r="D1820" t="s">
        <v>1862</v>
      </c>
      <c r="E1820" t="str">
        <f>E1818</f>
        <v>GWth/yr.</v>
      </c>
      <c r="F1820" s="1">
        <f>SUM(F1821:F1822)</f>
        <v>2.1116616079934167</v>
      </c>
      <c r="G1820" s="1">
        <f t="shared" ref="G1820:K1820" si="1119">SUM(G1821:G1822)</f>
        <v>2.3821998224094703</v>
      </c>
      <c r="H1820" s="1">
        <f t="shared" si="1119"/>
        <v>2.6948385033810283</v>
      </c>
      <c r="I1820" s="1">
        <f t="shared" si="1119"/>
        <v>3.0827295925437768</v>
      </c>
      <c r="J1820" s="1">
        <f t="shared" si="1119"/>
        <v>3.6840223214694339</v>
      </c>
      <c r="K1820" s="1">
        <f t="shared" si="1119"/>
        <v>4.1630872227030808</v>
      </c>
    </row>
    <row r="1821" spans="2:11" x14ac:dyDescent="0.35">
      <c r="B1821" s="5" t="str">
        <f t="shared" si="1102"/>
        <v>SPS4</v>
      </c>
      <c r="C1821" s="5" t="str">
        <f t="shared" ref="C1821" si="1120">C1820</f>
        <v>CH</v>
      </c>
      <c r="D1821" t="s">
        <v>1863</v>
      </c>
      <c r="E1821" t="str">
        <f t="shared" ref="E1821:E1884" si="1121">E1820</f>
        <v>GWth/yr.</v>
      </c>
      <c r="F1821" s="1" cm="1">
        <f t="array" ref="F1821">SUMPRODUCT(([1]OUT_FinalEnergyCons!$B$4:$B$10000="var_cap")*1,(ISNUMBER(SEARCH("RH*-SHELCBR",[1]OUT_FinalEnergyCons!$A$4:$A$10000)))*1,[1]OUT_FinalEnergyCons!D$4:D$10000)</f>
        <v>0.67257109511517488</v>
      </c>
      <c r="G1821" s="1" cm="1">
        <f t="array" ref="G1821">SUMPRODUCT(([1]OUT_FinalEnergyCons!$B$4:$B$10000="var_cap")*1,(ISNUMBER(SEARCH("RH*-SHELCBR",[1]OUT_FinalEnergyCons!$A$4:$A$10000)))*1,[1]OUT_FinalEnergyCons!E$4:E$10000)</f>
        <v>0.71873536372349833</v>
      </c>
      <c r="H1821" s="1" cm="1">
        <f t="array" ref="H1821">SUMPRODUCT(([1]OUT_FinalEnergyCons!$B$4:$B$10000="var_cap")*1,(ISNUMBER(SEARCH("RH*-SHELCBR",[1]OUT_FinalEnergyCons!$A$4:$A$10000)))*1,[1]OUT_FinalEnergyCons!F$4:F$10000)</f>
        <v>0.14031489369331504</v>
      </c>
      <c r="I1821" s="1" cm="1">
        <f t="array" ref="I1821">SUMPRODUCT(([1]OUT_FinalEnergyCons!$B$4:$B$10000="var_cap")*1,(ISNUMBER(SEARCH("RH*-SHELCBR",[1]OUT_FinalEnergyCons!$A$4:$A$10000)))*1,[1]OUT_FinalEnergyCons!G$4:G$10000)</f>
        <v>4.8836029582552488E-2</v>
      </c>
      <c r="J1821" s="1" cm="1">
        <f t="array" ref="J1821">SUMPRODUCT(([1]OUT_FinalEnergyCons!$B$4:$B$10000="var_cap")*1,(ISNUMBER(SEARCH("RH*-SHELCBR",[1]OUT_FinalEnergyCons!$A$4:$A$10000)))*1,[1]OUT_FinalEnergyCons!H$4:H$10000)</f>
        <v>9.7728707618589435E-3</v>
      </c>
      <c r="K1821" s="1" cm="1">
        <f t="array" ref="K1821">SUMPRODUCT(([1]OUT_FinalEnergyCons!$B$4:$B$10000="var_cap")*1,(ISNUMBER(SEARCH("RH*-SHELCBR",[1]OUT_FinalEnergyCons!$A$4:$A$10000)))*1,[1]OUT_FinalEnergyCons!I$4:I$10000)</f>
        <v>4.297513252403809E-3</v>
      </c>
    </row>
    <row r="1822" spans="2:11" x14ac:dyDescent="0.35">
      <c r="B1822" s="5" t="str">
        <f t="shared" si="1102"/>
        <v>SPS4</v>
      </c>
      <c r="C1822" s="5" t="str">
        <f t="shared" ref="C1822" si="1122">C1821</f>
        <v>CH</v>
      </c>
      <c r="D1822" t="s">
        <v>1864</v>
      </c>
      <c r="E1822" t="str">
        <f t="shared" si="1121"/>
        <v>GWth/yr.</v>
      </c>
      <c r="F1822" s="1" cm="1">
        <f t="array" ref="F1822">SUMPRODUCT(([1]OUT_FinalEnergyCons!$B$4:$B$10000="var_cap")*1,ISNUMBER(SEARCH("RH*-SHELCHP",[1]OUT_FinalEnergyCons!$A$4:$A$10000))*1,[1]OUT_FinalEnergyCons!D$4:D$10000)</f>
        <v>1.4390905128782419</v>
      </c>
      <c r="G1822" s="1" cm="1">
        <f t="array" ref="G1822">SUMPRODUCT(([1]OUT_FinalEnergyCons!$B$4:$B$10000="var_cap")*1,ISNUMBER(SEARCH("RH*-SHELCHP",[1]OUT_FinalEnergyCons!$A$4:$A$10000))*1,[1]OUT_FinalEnergyCons!E$4:E$10000)</f>
        <v>1.6634644586859717</v>
      </c>
      <c r="H1822" s="1" cm="1">
        <f t="array" ref="H1822">SUMPRODUCT(([1]OUT_FinalEnergyCons!$B$4:$B$10000="var_cap")*1,ISNUMBER(SEARCH("RH*-SHELCHP",[1]OUT_FinalEnergyCons!$A$4:$A$10000))*1,[1]OUT_FinalEnergyCons!F$4:F$10000)</f>
        <v>2.5545236096877133</v>
      </c>
      <c r="I1822" s="1" cm="1">
        <f t="array" ref="I1822">SUMPRODUCT(([1]OUT_FinalEnergyCons!$B$4:$B$10000="var_cap")*1,ISNUMBER(SEARCH("RH*-SHELCHP",[1]OUT_FinalEnergyCons!$A$4:$A$10000))*1,[1]OUT_FinalEnergyCons!G$4:G$10000)</f>
        <v>3.0338935629612243</v>
      </c>
      <c r="J1822" s="1" cm="1">
        <f t="array" ref="J1822">SUMPRODUCT(([1]OUT_FinalEnergyCons!$B$4:$B$10000="var_cap")*1,ISNUMBER(SEARCH("RH*-SHELCHP",[1]OUT_FinalEnergyCons!$A$4:$A$10000))*1,[1]OUT_FinalEnergyCons!H$4:H$10000)</f>
        <v>3.6742494507075749</v>
      </c>
      <c r="K1822" s="1" cm="1">
        <f t="array" ref="K1822">SUMPRODUCT(([1]OUT_FinalEnergyCons!$B$4:$B$10000="var_cap")*1,ISNUMBER(SEARCH("RH*-SHELCHP",[1]OUT_FinalEnergyCons!$A$4:$A$10000))*1,[1]OUT_FinalEnergyCons!I$4:I$10000)</f>
        <v>4.1587897094506774</v>
      </c>
    </row>
    <row r="1823" spans="2:11" x14ac:dyDescent="0.35">
      <c r="B1823" s="5" t="str">
        <f t="shared" si="1102"/>
        <v>SPS4</v>
      </c>
      <c r="C1823" s="5" t="str">
        <f t="shared" ref="C1823" si="1123">C1822</f>
        <v>CH</v>
      </c>
      <c r="D1823" t="s">
        <v>1865</v>
      </c>
      <c r="E1823" t="str">
        <f t="shared" si="1121"/>
        <v>GWth/yr.</v>
      </c>
      <c r="F1823" s="1">
        <f>F1824</f>
        <v>3.4074053831106799</v>
      </c>
      <c r="G1823" s="1">
        <f t="shared" ref="G1823:K1823" si="1124">G1824</f>
        <v>3.40737534185038</v>
      </c>
      <c r="H1823" s="1">
        <f t="shared" si="1124"/>
        <v>3.4334304213629636</v>
      </c>
      <c r="I1823" s="1">
        <f t="shared" si="1124"/>
        <v>3.4333819548237603</v>
      </c>
      <c r="J1823" s="1">
        <f t="shared" si="1124"/>
        <v>0.92256866695884743</v>
      </c>
      <c r="K1823" s="1">
        <f t="shared" si="1124"/>
        <v>0.41290702757631836</v>
      </c>
    </row>
    <row r="1824" spans="2:11" x14ac:dyDescent="0.35">
      <c r="B1824" s="5" t="str">
        <f t="shared" si="1102"/>
        <v>SPS4</v>
      </c>
      <c r="C1824" s="5" t="str">
        <f t="shared" ref="C1824" si="1125">C1823</f>
        <v>CH</v>
      </c>
      <c r="D1824" t="s">
        <v>1866</v>
      </c>
      <c r="E1824" t="str">
        <f t="shared" si="1121"/>
        <v>GWth/yr.</v>
      </c>
      <c r="F1824" s="1" cm="1">
        <f t="array" ref="F1824">SUMPRODUCT(([1]OUT_FinalEnergyCons!$B$4:$B$10000="var_cap")*1, (ISNUMBER(SEARCH("RH*-SHLFOBR",[1]OUT_FinalEnergyCons!$A$4:$A$10000)))*1,[1]OUT_FinalEnergyCons!D$4:D$10000)</f>
        <v>3.4074053831106799</v>
      </c>
      <c r="G1824" s="1" cm="1">
        <f t="array" ref="G1824">SUMPRODUCT(([1]OUT_FinalEnergyCons!$B$4:$B$10000="var_cap")*1, (ISNUMBER(SEARCH("RH*-SHLFOBR",[1]OUT_FinalEnergyCons!$A$4:$A$10000)))*1,[1]OUT_FinalEnergyCons!E$4:E$10000)</f>
        <v>3.40737534185038</v>
      </c>
      <c r="H1824" s="1" cm="1">
        <f t="array" ref="H1824">SUMPRODUCT(([1]OUT_FinalEnergyCons!$B$4:$B$10000="var_cap")*1, (ISNUMBER(SEARCH("RH*-SHLFOBR",[1]OUT_FinalEnergyCons!$A$4:$A$10000)))*1,[1]OUT_FinalEnergyCons!F$4:F$10000)</f>
        <v>3.4334304213629636</v>
      </c>
      <c r="I1824" s="1" cm="1">
        <f t="array" ref="I1824">SUMPRODUCT(([1]OUT_FinalEnergyCons!$B$4:$B$10000="var_cap")*1, (ISNUMBER(SEARCH("RH*-SHLFOBR",[1]OUT_FinalEnergyCons!$A$4:$A$10000)))*1,[1]OUT_FinalEnergyCons!G$4:G$10000)</f>
        <v>3.4333819548237603</v>
      </c>
      <c r="J1824" s="1" cm="1">
        <f t="array" ref="J1824">SUMPRODUCT(([1]OUT_FinalEnergyCons!$B$4:$B$10000="var_cap")*1, (ISNUMBER(SEARCH("RH*-SHLFOBR",[1]OUT_FinalEnergyCons!$A$4:$A$10000)))*1,[1]OUT_FinalEnergyCons!H$4:H$10000)</f>
        <v>0.92256866695884743</v>
      </c>
      <c r="K1824" s="1" cm="1">
        <f t="array" ref="K1824">SUMPRODUCT(([1]OUT_FinalEnergyCons!$B$4:$B$10000="var_cap")*1, (ISNUMBER(SEARCH("RH*-SHLFOBR",[1]OUT_FinalEnergyCons!$A$4:$A$10000)))*1,[1]OUT_FinalEnergyCons!I$4:I$10000)</f>
        <v>0.41290702757631836</v>
      </c>
    </row>
    <row r="1825" spans="2:11" x14ac:dyDescent="0.35">
      <c r="B1825" s="5" t="str">
        <f t="shared" si="1102"/>
        <v>SPS4</v>
      </c>
      <c r="C1825" s="5" t="str">
        <f t="shared" ref="C1825" si="1126">C1824</f>
        <v>CH</v>
      </c>
      <c r="D1825" t="s">
        <v>1867</v>
      </c>
      <c r="E1825" t="str">
        <f t="shared" si="1121"/>
        <v>GWth/yr.</v>
      </c>
      <c r="F1825" s="1">
        <f>SUM(F1826:F1827)</f>
        <v>2.7687541371227273</v>
      </c>
      <c r="G1825" s="1">
        <f t="shared" ref="G1825:K1825" si="1127">SUM(G1826:G1827)</f>
        <v>2.9496575348008607</v>
      </c>
      <c r="H1825" s="1">
        <f t="shared" si="1127"/>
        <v>3.4777062840287645</v>
      </c>
      <c r="I1825" s="1">
        <f t="shared" si="1127"/>
        <v>3.8597435182086848</v>
      </c>
      <c r="J1825" s="1">
        <f t="shared" si="1127"/>
        <v>2.4408525764389841</v>
      </c>
      <c r="K1825" s="1">
        <f t="shared" si="1127"/>
        <v>2.2336887762760922</v>
      </c>
    </row>
    <row r="1826" spans="2:11" x14ac:dyDescent="0.35">
      <c r="B1826" s="5" t="str">
        <f t="shared" si="1102"/>
        <v>SPS4</v>
      </c>
      <c r="C1826" s="5" t="str">
        <f t="shared" ref="C1826" si="1128">C1825</f>
        <v>CH</v>
      </c>
      <c r="D1826" t="s">
        <v>1868</v>
      </c>
      <c r="E1826" t="str">
        <f t="shared" si="1121"/>
        <v>GWth/yr.</v>
      </c>
      <c r="F1826" s="1" cm="1">
        <f t="array" ref="F1826">SUMPRODUCT(([1]OUT_FinalEnergyCons!$B$4:$B$10000="var_cap")*1, (ISNUMBER(SEARCH("RH*-SHNGABR",[1]OUT_FinalEnergyCons!$A$4:$A$10000)))*1,[1]OUT_FinalEnergyCons!D$4:D$10000)</f>
        <v>2.7687540512383499</v>
      </c>
      <c r="G1826" s="1" cm="1">
        <f t="array" ref="G1826">SUMPRODUCT(([1]OUT_FinalEnergyCons!$B$4:$B$10000="var_cap")*1, (ISNUMBER(SEARCH("RH*-SHNGABR",[1]OUT_FinalEnergyCons!$A$4:$A$10000)))*1,[1]OUT_FinalEnergyCons!E$4:E$10000)</f>
        <v>2.9496564800840148</v>
      </c>
      <c r="H1826" s="1" cm="1">
        <f t="array" ref="H1826">SUMPRODUCT(([1]OUT_FinalEnergyCons!$B$4:$B$10000="var_cap")*1, (ISNUMBER(SEARCH("RH*-SHNGABR",[1]OUT_FinalEnergyCons!$A$4:$A$10000)))*1,[1]OUT_FinalEnergyCons!F$4:F$10000)</f>
        <v>3.1385719686634039</v>
      </c>
      <c r="I1826" s="1" cm="1">
        <f t="array" ref="I1826">SUMPRODUCT(([1]OUT_FinalEnergyCons!$B$4:$B$10000="var_cap")*1, (ISNUMBER(SEARCH("RH*-SHNGABR",[1]OUT_FinalEnergyCons!$A$4:$A$10000)))*1,[1]OUT_FinalEnergyCons!G$4:G$10000)</f>
        <v>3.1391716760940795</v>
      </c>
      <c r="J1826" s="1" cm="1">
        <f t="array" ref="J1826">SUMPRODUCT(([1]OUT_FinalEnergyCons!$B$4:$B$10000="var_cap")*1, (ISNUMBER(SEARCH("RH*-SHNGABR",[1]OUT_FinalEnergyCons!$A$4:$A$10000)))*1,[1]OUT_FinalEnergyCons!H$4:H$10000)</f>
        <v>1.2766727051531375</v>
      </c>
      <c r="K1826" s="1" cm="1">
        <f t="array" ref="K1826">SUMPRODUCT(([1]OUT_FinalEnergyCons!$B$4:$B$10000="var_cap")*1, (ISNUMBER(SEARCH("RH*-SHNGABR",[1]OUT_FinalEnergyCons!$A$4:$A$10000)))*1,[1]OUT_FinalEnergyCons!I$4:I$10000)</f>
        <v>0.70932155942654129</v>
      </c>
    </row>
    <row r="1827" spans="2:11" x14ac:dyDescent="0.35">
      <c r="B1827" s="5" t="str">
        <f t="shared" si="1102"/>
        <v>SPS4</v>
      </c>
      <c r="C1827" s="5" t="str">
        <f t="shared" ref="C1827" si="1129">C1826</f>
        <v>CH</v>
      </c>
      <c r="D1827" t="s">
        <v>1869</v>
      </c>
      <c r="E1827" t="str">
        <f t="shared" si="1121"/>
        <v>GWth/yr.</v>
      </c>
      <c r="F1827" s="1" cm="1">
        <f t="array" ref="F1827">SUMPRODUCT(([1]OUT_FinalEnergyCons!$B$4:$B$10000="var_cap")*1,ISNUMBER(SEARCH("RH*-SHngahp",[1]OUT_FinalEnergyCons!$A$4:$A$10000))*1,[1]OUT_FinalEnergyCons!D$4:D$10000)</f>
        <v>8.5884377549690205E-8</v>
      </c>
      <c r="G1827" s="1" cm="1">
        <f t="array" ref="G1827">SUMPRODUCT(([1]OUT_FinalEnergyCons!$B$4:$B$10000="var_cap")*1,ISNUMBER(SEARCH("RH*-SHngahp",[1]OUT_FinalEnergyCons!$A$4:$A$10000))*1,[1]OUT_FinalEnergyCons!E$4:E$10000)</f>
        <v>1.054716845834686E-6</v>
      </c>
      <c r="H1827" s="1" cm="1">
        <f t="array" ref="H1827">SUMPRODUCT(([1]OUT_FinalEnergyCons!$B$4:$B$10000="var_cap")*1,ISNUMBER(SEARCH("RH*-SHngahp",[1]OUT_FinalEnergyCons!$A$4:$A$10000))*1,[1]OUT_FinalEnergyCons!F$4:F$10000)</f>
        <v>0.33913431536536032</v>
      </c>
      <c r="I1827" s="1" cm="1">
        <f t="array" ref="I1827">SUMPRODUCT(([1]OUT_FinalEnergyCons!$B$4:$B$10000="var_cap")*1,ISNUMBER(SEARCH("RH*-SHngahp",[1]OUT_FinalEnergyCons!$A$4:$A$10000))*1,[1]OUT_FinalEnergyCons!G$4:G$10000)</f>
        <v>0.72057184211460545</v>
      </c>
      <c r="J1827" s="1" cm="1">
        <f t="array" ref="J1827">SUMPRODUCT(([1]OUT_FinalEnergyCons!$B$4:$B$10000="var_cap")*1,ISNUMBER(SEARCH("RH*-SHngahp",[1]OUT_FinalEnergyCons!$A$4:$A$10000))*1,[1]OUT_FinalEnergyCons!H$4:H$10000)</f>
        <v>1.1641798712858469</v>
      </c>
      <c r="K1827" s="1" cm="1">
        <f t="array" ref="K1827">SUMPRODUCT(([1]OUT_FinalEnergyCons!$B$4:$B$10000="var_cap")*1,ISNUMBER(SEARCH("RH*-SHngahp",[1]OUT_FinalEnergyCons!$A$4:$A$10000))*1,[1]OUT_FinalEnergyCons!I$4:I$10000)</f>
        <v>1.524367216849551</v>
      </c>
    </row>
    <row r="1828" spans="2:11" x14ac:dyDescent="0.35">
      <c r="B1828" s="5" t="str">
        <f t="shared" si="1102"/>
        <v>SPS4</v>
      </c>
      <c r="C1828" s="5" t="str">
        <f t="shared" ref="C1828" si="1130">C1827</f>
        <v>CH</v>
      </c>
      <c r="D1828" t="s">
        <v>1870</v>
      </c>
      <c r="E1828" t="str">
        <f t="shared" si="1121"/>
        <v>GWth/yr.</v>
      </c>
      <c r="F1828" s="1">
        <f>F1829</f>
        <v>7.0000000000000001E-3</v>
      </c>
      <c r="G1828" s="1">
        <f t="shared" ref="G1828:K1828" si="1131">G1829</f>
        <v>6.6438290913223234E-3</v>
      </c>
      <c r="H1828" s="1">
        <f t="shared" si="1131"/>
        <v>2.4056485982355104E-3</v>
      </c>
      <c r="I1828" s="1">
        <f t="shared" si="1131"/>
        <v>6.1953715812407013E-4</v>
      </c>
      <c r="J1828" s="1">
        <f t="shared" si="1131"/>
        <v>0</v>
      </c>
      <c r="K1828" s="1">
        <f t="shared" si="1131"/>
        <v>0</v>
      </c>
    </row>
    <row r="1829" spans="2:11" x14ac:dyDescent="0.35">
      <c r="B1829" s="5" t="str">
        <f t="shared" si="1102"/>
        <v>SPS4</v>
      </c>
      <c r="C1829" s="5" t="str">
        <f t="shared" ref="C1829" si="1132">C1828</f>
        <v>CH</v>
      </c>
      <c r="D1829" t="s">
        <v>1871</v>
      </c>
      <c r="E1829" t="str">
        <f t="shared" si="1121"/>
        <v>GWth/yr.</v>
      </c>
      <c r="F1829" s="1" cm="1">
        <f t="array" ref="F1829">SUMPRODUCT(([1]OUT_FinalEnergyCons!$B$4:$B$10000="var_cap")*1, (ISNUMBER(SEARCH("RH*-SHCOABR",[1]OUT_FinalEnergyCons!$A$4:$A$10000)))*1,[1]OUT_FinalEnergyCons!D$4:D$10000)</f>
        <v>7.0000000000000001E-3</v>
      </c>
      <c r="G1829" s="1" cm="1">
        <f t="array" ref="G1829">SUMPRODUCT(([1]OUT_FinalEnergyCons!$B$4:$B$10000="var_cap")*1, (ISNUMBER(SEARCH("RH*-SHCOABR",[1]OUT_FinalEnergyCons!$A$4:$A$10000)))*1,[1]OUT_FinalEnergyCons!E$4:E$10000)</f>
        <v>6.6438290913223234E-3</v>
      </c>
      <c r="H1829" s="1" cm="1">
        <f t="array" ref="H1829">SUMPRODUCT(([1]OUT_FinalEnergyCons!$B$4:$B$10000="var_cap")*1, (ISNUMBER(SEARCH("RH*-SHCOABR",[1]OUT_FinalEnergyCons!$A$4:$A$10000)))*1,[1]OUT_FinalEnergyCons!F$4:F$10000)</f>
        <v>2.4056485982355104E-3</v>
      </c>
      <c r="I1829" s="1" cm="1">
        <f t="array" ref="I1829">SUMPRODUCT(([1]OUT_FinalEnergyCons!$B$4:$B$10000="var_cap")*1, (ISNUMBER(SEARCH("RH*-SHCOABR",[1]OUT_FinalEnergyCons!$A$4:$A$10000)))*1,[1]OUT_FinalEnergyCons!G$4:G$10000)</f>
        <v>6.1953715812407013E-4</v>
      </c>
      <c r="J1829" s="1" cm="1">
        <f t="array" ref="J1829">SUMPRODUCT(([1]OUT_FinalEnergyCons!$B$4:$B$10000="var_cap")*1, (ISNUMBER(SEARCH("RH*-SHCOABR",[1]OUT_FinalEnergyCons!$A$4:$A$10000)))*1,[1]OUT_FinalEnergyCons!H$4:H$10000)</f>
        <v>0</v>
      </c>
      <c r="K1829" s="1" cm="1">
        <f t="array" ref="K1829">SUMPRODUCT(([1]OUT_FinalEnergyCons!$B$4:$B$10000="var_cap")*1, (ISNUMBER(SEARCH("RH*-SHCOABR",[1]OUT_FinalEnergyCons!$A$4:$A$10000)))*1,[1]OUT_FinalEnergyCons!I$4:I$10000)</f>
        <v>0</v>
      </c>
    </row>
    <row r="1830" spans="2:11" x14ac:dyDescent="0.35">
      <c r="B1830" s="5" t="str">
        <f t="shared" si="1102"/>
        <v>SPS4</v>
      </c>
      <c r="C1830" s="5" t="str">
        <f>C1829</f>
        <v>CH</v>
      </c>
      <c r="D1830" t="s">
        <v>1872</v>
      </c>
      <c r="E1830" t="str">
        <f>E1829</f>
        <v>GWth/yr.</v>
      </c>
      <c r="F1830" s="1">
        <f>F1831</f>
        <v>0.6895006675348363</v>
      </c>
      <c r="G1830" s="1">
        <f t="shared" ref="G1830:K1830" si="1133">G1831</f>
        <v>0.75010360941720422</v>
      </c>
      <c r="H1830" s="1">
        <f t="shared" si="1133"/>
        <v>0.79588576456347293</v>
      </c>
      <c r="I1830" s="1">
        <f t="shared" si="1133"/>
        <v>0.79588153377621162</v>
      </c>
      <c r="J1830" s="1">
        <f t="shared" si="1133"/>
        <v>0.66379357557381846</v>
      </c>
      <c r="K1830" s="1">
        <f t="shared" si="1133"/>
        <v>0.46700774547445306</v>
      </c>
    </row>
    <row r="1831" spans="2:11" x14ac:dyDescent="0.35">
      <c r="B1831" s="5" t="str">
        <f t="shared" si="1102"/>
        <v>SPS4</v>
      </c>
      <c r="C1831" s="5" t="str">
        <f t="shared" ref="C1831" si="1134">C1830</f>
        <v>CH</v>
      </c>
      <c r="D1831" t="s">
        <v>1873</v>
      </c>
      <c r="E1831" t="str">
        <f t="shared" si="1121"/>
        <v>GWth/yr.</v>
      </c>
      <c r="F1831" s="1" cm="1">
        <f t="array" ref="F1831">SUMPRODUCT(([1]OUT_FinalEnergyCons!$B$4:$B$10000="var_cap")*1, (ISNUMBER(SEARCH("RH*-SHWODBR",[1]OUT_FinalEnergyCons!$A$4:$A$10000)))*1,[1]OUT_FinalEnergyCons!D$4:D$10000)</f>
        <v>0.6895006675348363</v>
      </c>
      <c r="G1831" s="1" cm="1">
        <f t="array" ref="G1831">SUMPRODUCT(([1]OUT_FinalEnergyCons!$B$4:$B$10000="var_cap")*1, (ISNUMBER(SEARCH("RH*-SHWODBR",[1]OUT_FinalEnergyCons!$A$4:$A$10000)))*1,[1]OUT_FinalEnergyCons!E$4:E$10000)</f>
        <v>0.75010360941720422</v>
      </c>
      <c r="H1831" s="1" cm="1">
        <f t="array" ref="H1831">SUMPRODUCT(([1]OUT_FinalEnergyCons!$B$4:$B$10000="var_cap")*1, (ISNUMBER(SEARCH("RH*-SHWODBR",[1]OUT_FinalEnergyCons!$A$4:$A$10000)))*1,[1]OUT_FinalEnergyCons!F$4:F$10000)</f>
        <v>0.79588576456347293</v>
      </c>
      <c r="I1831" s="1" cm="1">
        <f t="array" ref="I1831">SUMPRODUCT(([1]OUT_FinalEnergyCons!$B$4:$B$10000="var_cap")*1, (ISNUMBER(SEARCH("RH*-SHWODBR",[1]OUT_FinalEnergyCons!$A$4:$A$10000)))*1,[1]OUT_FinalEnergyCons!G$4:G$10000)</f>
        <v>0.79588153377621162</v>
      </c>
      <c r="J1831" s="1" cm="1">
        <f t="array" ref="J1831">SUMPRODUCT(([1]OUT_FinalEnergyCons!$B$4:$B$10000="var_cap")*1, (ISNUMBER(SEARCH("RH*-SHWODBR",[1]OUT_FinalEnergyCons!$A$4:$A$10000)))*1,[1]OUT_FinalEnergyCons!H$4:H$10000)</f>
        <v>0.66379357557381846</v>
      </c>
      <c r="K1831" s="1" cm="1">
        <f t="array" ref="K1831">SUMPRODUCT(([1]OUT_FinalEnergyCons!$B$4:$B$10000="var_cap")*1, (ISNUMBER(SEARCH("RH*-SHWODBR",[1]OUT_FinalEnergyCons!$A$4:$A$10000)))*1,[1]OUT_FinalEnergyCons!I$4:I$10000)</f>
        <v>0.46700774547445306</v>
      </c>
    </row>
    <row r="1832" spans="2:11" x14ac:dyDescent="0.35">
      <c r="B1832" s="5" t="str">
        <f t="shared" si="1102"/>
        <v>SPS4</v>
      </c>
      <c r="C1832" s="5" t="str">
        <f t="shared" ref="C1832" si="1135">C1831</f>
        <v>CH</v>
      </c>
      <c r="D1832" t="s">
        <v>1874</v>
      </c>
      <c r="E1832" t="str">
        <f t="shared" si="1121"/>
        <v>GWth/yr.</v>
      </c>
      <c r="F1832" s="1">
        <f>F1833</f>
        <v>0.20438151198424143</v>
      </c>
      <c r="G1832" s="1">
        <f t="shared" ref="G1832:K1832" si="1136">G1833</f>
        <v>0.24031236743906725</v>
      </c>
      <c r="H1832" s="1">
        <f t="shared" si="1136"/>
        <v>6.1321436114703018E-2</v>
      </c>
      <c r="I1832" s="1">
        <f t="shared" si="1136"/>
        <v>6.1620011040883972E-2</v>
      </c>
      <c r="J1832" s="1">
        <f t="shared" si="1136"/>
        <v>5.7853707812005231E-2</v>
      </c>
      <c r="K1832" s="1">
        <f t="shared" si="1136"/>
        <v>6.906784538957797E-2</v>
      </c>
    </row>
    <row r="1833" spans="2:11" x14ac:dyDescent="0.35">
      <c r="B1833" s="5" t="str">
        <f t="shared" si="1102"/>
        <v>SPS4</v>
      </c>
      <c r="C1833" s="5" t="str">
        <f t="shared" ref="C1833" si="1137">C1832</f>
        <v>CH</v>
      </c>
      <c r="D1833" t="s">
        <v>1875</v>
      </c>
      <c r="E1833" t="str">
        <f t="shared" si="1121"/>
        <v>GWth/yr.</v>
      </c>
      <c r="F1833" s="1" cm="1">
        <f t="array" ref="F1833">SUMPRODUCT(([1]OUT_FinalEnergyCons!$B$4:$B$10000="var_cap")*1, (ISNUMBER(SEARCH("RH*-SHPLTBR",[1]OUT_FinalEnergyCons!$A$4:$A$10000)))*1,[1]OUT_FinalEnergyCons!D$4:D$10000)</f>
        <v>0.20438151198424143</v>
      </c>
      <c r="G1833" s="1" cm="1">
        <f t="array" ref="G1833">SUMPRODUCT(([1]OUT_FinalEnergyCons!$B$4:$B$10000="var_cap")*1, (ISNUMBER(SEARCH("RH*-SHPLTBR",[1]OUT_FinalEnergyCons!$A$4:$A$10000)))*1,[1]OUT_FinalEnergyCons!E$4:E$10000)</f>
        <v>0.24031236743906725</v>
      </c>
      <c r="H1833" s="1" cm="1">
        <f t="array" ref="H1833">SUMPRODUCT(([1]OUT_FinalEnergyCons!$B$4:$B$10000="var_cap")*1, (ISNUMBER(SEARCH("RH*-SHPLTBR",[1]OUT_FinalEnergyCons!$A$4:$A$10000)))*1,[1]OUT_FinalEnergyCons!F$4:F$10000)</f>
        <v>6.1321436114703018E-2</v>
      </c>
      <c r="I1833" s="1" cm="1">
        <f t="array" ref="I1833">SUMPRODUCT(([1]OUT_FinalEnergyCons!$B$4:$B$10000="var_cap")*1, (ISNUMBER(SEARCH("RH*-SHPLTBR",[1]OUT_FinalEnergyCons!$A$4:$A$10000)))*1,[1]OUT_FinalEnergyCons!G$4:G$10000)</f>
        <v>6.1620011040883972E-2</v>
      </c>
      <c r="J1833" s="1" cm="1">
        <f t="array" ref="J1833">SUMPRODUCT(([1]OUT_FinalEnergyCons!$B$4:$B$10000="var_cap")*1, (ISNUMBER(SEARCH("RH*-SHPLTBR",[1]OUT_FinalEnergyCons!$A$4:$A$10000)))*1,[1]OUT_FinalEnergyCons!H$4:H$10000)</f>
        <v>5.7853707812005231E-2</v>
      </c>
      <c r="K1833" s="1" cm="1">
        <f t="array" ref="K1833">SUMPRODUCT(([1]OUT_FinalEnergyCons!$B$4:$B$10000="var_cap")*1, (ISNUMBER(SEARCH("RH*-SHPLTBR",[1]OUT_FinalEnergyCons!$A$4:$A$10000)))*1,[1]OUT_FinalEnergyCons!I$4:I$10000)</f>
        <v>6.906784538957797E-2</v>
      </c>
    </row>
    <row r="1834" spans="2:11" x14ac:dyDescent="0.35">
      <c r="B1834" s="5" t="str">
        <f t="shared" si="1102"/>
        <v>SPS4</v>
      </c>
      <c r="C1834" s="5" t="str">
        <f t="shared" ref="C1834" si="1138">C1833</f>
        <v>CH</v>
      </c>
      <c r="D1834" t="s">
        <v>1876</v>
      </c>
      <c r="E1834" t="str">
        <f t="shared" si="1121"/>
        <v>GWth/yr.</v>
      </c>
      <c r="F1834" s="1">
        <f>F1835</f>
        <v>0.1140665948277502</v>
      </c>
      <c r="G1834" s="1">
        <f t="shared" ref="G1834:K1834" si="1139">G1835</f>
        <v>0.136945163812493</v>
      </c>
      <c r="H1834" s="1">
        <f t="shared" si="1139"/>
        <v>0.1338264706658345</v>
      </c>
      <c r="I1834" s="1">
        <f t="shared" si="1139"/>
        <v>0.13371138435184876</v>
      </c>
      <c r="J1834" s="1">
        <f t="shared" si="1139"/>
        <v>6.073560560222159E-3</v>
      </c>
      <c r="K1834" s="1">
        <f t="shared" si="1139"/>
        <v>6.2486808429201932E-3</v>
      </c>
    </row>
    <row r="1835" spans="2:11" x14ac:dyDescent="0.35">
      <c r="B1835" s="5" t="str">
        <f t="shared" si="1102"/>
        <v>SPS4</v>
      </c>
      <c r="C1835" s="5" t="str">
        <f t="shared" ref="C1835" si="1140">C1834</f>
        <v>CH</v>
      </c>
      <c r="D1835" t="s">
        <v>1877</v>
      </c>
      <c r="E1835" t="str">
        <f t="shared" si="1121"/>
        <v>GWth/yr.</v>
      </c>
      <c r="F1835" s="1" cm="1">
        <f t="array" ref="F1835">SUMPRODUCT(([1]OUT_FinalEnergyCons!$B$4:$B$10000="var_cap")*1, (ISNUMBER(SEARCH("RH*-SHSOLBR",[1]OUT_FinalEnergyCons!$A$4:$A$10000)))*1,[1]OUT_FinalEnergyCons!D$4:D$10000)</f>
        <v>0.1140665948277502</v>
      </c>
      <c r="G1835" s="1" cm="1">
        <f t="array" ref="G1835">SUMPRODUCT(([1]OUT_FinalEnergyCons!$B$4:$B$10000="var_cap")*1, (ISNUMBER(SEARCH("RH*-SHSOLBR",[1]OUT_FinalEnergyCons!$A$4:$A$10000)))*1,[1]OUT_FinalEnergyCons!E$4:E$10000)</f>
        <v>0.136945163812493</v>
      </c>
      <c r="H1835" s="1" cm="1">
        <f t="array" ref="H1835">SUMPRODUCT(([1]OUT_FinalEnergyCons!$B$4:$B$10000="var_cap")*1, (ISNUMBER(SEARCH("RH*-SHSOLBR",[1]OUT_FinalEnergyCons!$A$4:$A$10000)))*1,[1]OUT_FinalEnergyCons!F$4:F$10000)</f>
        <v>0.1338264706658345</v>
      </c>
      <c r="I1835" s="1" cm="1">
        <f t="array" ref="I1835">SUMPRODUCT(([1]OUT_FinalEnergyCons!$B$4:$B$10000="var_cap")*1, (ISNUMBER(SEARCH("RH*-SHSOLBR",[1]OUT_FinalEnergyCons!$A$4:$A$10000)))*1,[1]OUT_FinalEnergyCons!G$4:G$10000)</f>
        <v>0.13371138435184876</v>
      </c>
      <c r="J1835" s="1" cm="1">
        <f t="array" ref="J1835">SUMPRODUCT(([1]OUT_FinalEnergyCons!$B$4:$B$10000="var_cap")*1, (ISNUMBER(SEARCH("RH*-SHSOLBR",[1]OUT_FinalEnergyCons!$A$4:$A$10000)))*1,[1]OUT_FinalEnergyCons!H$4:H$10000)</f>
        <v>6.073560560222159E-3</v>
      </c>
      <c r="K1835" s="1" cm="1">
        <f t="array" ref="K1835">SUMPRODUCT(([1]OUT_FinalEnergyCons!$B$4:$B$10000="var_cap")*1, (ISNUMBER(SEARCH("RH*-SHSOLBR",[1]OUT_FinalEnergyCons!$A$4:$A$10000)))*1,[1]OUT_FinalEnergyCons!I$4:I$10000)</f>
        <v>6.2486808429201932E-3</v>
      </c>
    </row>
    <row r="1836" spans="2:11" x14ac:dyDescent="0.35">
      <c r="B1836" s="5" t="str">
        <f t="shared" si="1102"/>
        <v>SPS4</v>
      </c>
      <c r="C1836" s="5" t="str">
        <f t="shared" ref="C1836" si="1141">C1835</f>
        <v>CH</v>
      </c>
      <c r="D1836" t="s">
        <v>1878</v>
      </c>
      <c r="E1836" t="str">
        <f t="shared" si="1121"/>
        <v>GWth/yr.</v>
      </c>
      <c r="F1836" s="1">
        <f>F1837</f>
        <v>0</v>
      </c>
      <c r="G1836" s="1">
        <f t="shared" ref="G1836:K1836" si="1142">G1837</f>
        <v>0</v>
      </c>
      <c r="H1836" s="1">
        <f t="shared" si="1142"/>
        <v>0</v>
      </c>
      <c r="I1836" s="1">
        <f t="shared" si="1142"/>
        <v>0</v>
      </c>
      <c r="J1836" s="1">
        <f t="shared" si="1142"/>
        <v>0</v>
      </c>
      <c r="K1836" s="1">
        <f t="shared" si="1142"/>
        <v>0</v>
      </c>
    </row>
    <row r="1837" spans="2:11" x14ac:dyDescent="0.35">
      <c r="B1837" s="5" t="str">
        <f t="shared" si="1102"/>
        <v>SPS4</v>
      </c>
      <c r="C1837" s="5" t="str">
        <f t="shared" ref="C1837" si="1143">C1836</f>
        <v>CH</v>
      </c>
      <c r="D1837" t="s">
        <v>1879</v>
      </c>
      <c r="E1837" t="str">
        <f t="shared" si="1121"/>
        <v>GWth/yr.</v>
      </c>
      <c r="F1837" s="1" cm="1">
        <f t="array" ref="F1837">SUMPRODUCT(([1]OUT_FinalEnergyCons!$B$4:$B$10000="var_cap")*1, (ISNUMBER(SEARCH("RH*-SHH2BR",[1]OUT_FinalEnergyCons!$A$4:$A$10000)))*1,[1]OUT_FinalEnergyCons!D$4:D$10000)</f>
        <v>0</v>
      </c>
      <c r="G1837" s="1" cm="1">
        <f t="array" ref="G1837">SUMPRODUCT(([1]OUT_FinalEnergyCons!$B$4:$B$10000="var_cap")*1, (ISNUMBER(SEARCH("RH*-SHH2BR",[1]OUT_FinalEnergyCons!$A$4:$A$10000)))*1,[1]OUT_FinalEnergyCons!E$4:E$10000)</f>
        <v>0</v>
      </c>
      <c r="H1837" s="1" cm="1">
        <f t="array" ref="H1837">SUMPRODUCT(([1]OUT_FinalEnergyCons!$B$4:$B$10000="var_cap")*1, (ISNUMBER(SEARCH("RH*-SHH2BR",[1]OUT_FinalEnergyCons!$A$4:$A$10000)))*1,[1]OUT_FinalEnergyCons!F$4:F$10000)</f>
        <v>0</v>
      </c>
      <c r="I1837" s="1" cm="1">
        <f t="array" ref="I1837">SUMPRODUCT(([1]OUT_FinalEnergyCons!$B$4:$B$10000="var_cap")*1, (ISNUMBER(SEARCH("RH*-SHH2BR",[1]OUT_FinalEnergyCons!$A$4:$A$10000)))*1,[1]OUT_FinalEnergyCons!G$4:G$10000)</f>
        <v>0</v>
      </c>
      <c r="J1837" s="1" cm="1">
        <f t="array" ref="J1837">SUMPRODUCT(([1]OUT_FinalEnergyCons!$B$4:$B$10000="var_cap")*1, (ISNUMBER(SEARCH("RH*-SHH2BR",[1]OUT_FinalEnergyCons!$A$4:$A$10000)))*1,[1]OUT_FinalEnergyCons!H$4:H$10000)</f>
        <v>0</v>
      </c>
      <c r="K1837" s="1" cm="1">
        <f t="array" ref="K1837">SUMPRODUCT(([1]OUT_FinalEnergyCons!$B$4:$B$10000="var_cap")*1, (ISNUMBER(SEARCH("RH*-SHH2BR",[1]OUT_FinalEnergyCons!$A$4:$A$10000)))*1,[1]OUT_FinalEnergyCons!I$4:I$10000)</f>
        <v>0</v>
      </c>
    </row>
    <row r="1838" spans="2:11" x14ac:dyDescent="0.35">
      <c r="B1838" s="5" t="str">
        <f t="shared" si="1102"/>
        <v>SPS4</v>
      </c>
      <c r="C1838" s="5" t="str">
        <f t="shared" ref="C1838" si="1144">C1837</f>
        <v>CH</v>
      </c>
      <c r="D1838" t="s">
        <v>1880</v>
      </c>
      <c r="E1838" t="str">
        <f t="shared" si="1121"/>
        <v>GWth/yr.</v>
      </c>
      <c r="F1838" s="1">
        <f>SUM(F1839,F1842,F1844,F1847,F1849,F1851,F1853,F1855)</f>
        <v>1.8609889180480734</v>
      </c>
      <c r="G1838" s="1">
        <f t="shared" ref="G1838" si="1145">SUM(G1839,G1842,G1844,G1847,G1849,G1851,G1853,G1855)</f>
        <v>2.0185913387359964</v>
      </c>
      <c r="H1838" s="1">
        <f t="shared" ref="H1838" si="1146">SUM(H1839,H1842,H1844,H1847,H1849,H1851,H1853,H1855)</f>
        <v>2.0073840826244678</v>
      </c>
      <c r="I1838" s="1">
        <f t="shared" ref="I1838" si="1147">SUM(I1839,I1842,I1844,I1847,I1849,I1851,I1853,I1855)</f>
        <v>2.1883251110627526</v>
      </c>
      <c r="J1838" s="1">
        <f t="shared" ref="J1838" si="1148">SUM(J1839,J1842,J1844,J1847,J1849,J1851,J1853,J1855)</f>
        <v>1.8970368204103929</v>
      </c>
      <c r="K1838" s="1">
        <f t="shared" ref="K1838" si="1149">SUM(K1839,K1842,K1844,K1847,K1849,K1851,K1853,K1855)</f>
        <v>2.1516361779100097</v>
      </c>
    </row>
    <row r="1839" spans="2:11" x14ac:dyDescent="0.35">
      <c r="B1839" s="5" t="str">
        <f t="shared" si="1102"/>
        <v>SPS4</v>
      </c>
      <c r="C1839" s="5" t="str">
        <f t="shared" ref="C1839" si="1150">C1838</f>
        <v>CH</v>
      </c>
      <c r="D1839" t="s">
        <v>1881</v>
      </c>
      <c r="E1839" t="str">
        <f t="shared" si="1121"/>
        <v>GWth/yr.</v>
      </c>
      <c r="F1839" s="1">
        <f>SUM(F1840:F1841)</f>
        <v>0.65093080952592886</v>
      </c>
      <c r="G1839" s="1">
        <f t="shared" ref="G1839" si="1151">SUM(G1840:G1841)</f>
        <v>0.7187222649904067</v>
      </c>
      <c r="H1839" s="1">
        <f t="shared" ref="H1839" si="1152">SUM(H1840:H1841)</f>
        <v>0.64518065713415274</v>
      </c>
      <c r="I1839" s="1">
        <f t="shared" ref="I1839" si="1153">SUM(I1840:I1841)</f>
        <v>0.73022046776365412</v>
      </c>
      <c r="J1839" s="1">
        <f t="shared" ref="J1839" si="1154">SUM(J1840:J1841)</f>
        <v>0.85969825377339881</v>
      </c>
      <c r="K1839" s="1">
        <f t="shared" ref="K1839" si="1155">SUM(K1840:K1841)</f>
        <v>1.0447105643856818</v>
      </c>
    </row>
    <row r="1840" spans="2:11" x14ac:dyDescent="0.35">
      <c r="B1840" s="5" t="str">
        <f t="shared" si="1102"/>
        <v>SPS4</v>
      </c>
      <c r="C1840" s="5" t="str">
        <f t="shared" ref="C1840" si="1156">C1839</f>
        <v>CH</v>
      </c>
      <c r="D1840" t="s">
        <v>1882</v>
      </c>
      <c r="E1840" t="str">
        <f t="shared" si="1121"/>
        <v>GWth/yr.</v>
      </c>
      <c r="F1840" s="1" cm="1">
        <f t="array" ref="F1840">SUMPRODUCT(([1]OUT_FinalEnergyCons!$B$4:$B$10000="var_cap")*1,(ISNUMBER(SEARCH("RH*-WHELCBR",[1]OUT_FinalEnergyCons!$A$4:$A$10000)))*1,[1]OUT_FinalEnergyCons!D$4:D$10000)</f>
        <v>0.4375761739737743</v>
      </c>
      <c r="G1840" s="1" cm="1">
        <f t="array" ref="G1840">SUMPRODUCT(([1]OUT_FinalEnergyCons!$B$4:$B$10000="var_cap")*1,(ISNUMBER(SEARCH("RH*-WHELCBR",[1]OUT_FinalEnergyCons!$A$4:$A$10000)))*1,[1]OUT_FinalEnergyCons!E$4:E$10000)</f>
        <v>0.47259353876039872</v>
      </c>
      <c r="H1840" s="1" cm="1">
        <f t="array" ref="H1840">SUMPRODUCT(([1]OUT_FinalEnergyCons!$B$4:$B$10000="var_cap")*1,(ISNUMBER(SEARCH("RH*-WHELCBR",[1]OUT_FinalEnergyCons!$A$4:$A$10000)))*1,[1]OUT_FinalEnergyCons!F$4:F$10000)</f>
        <v>0.33131115471619621</v>
      </c>
      <c r="I1840" s="1" cm="1">
        <f t="array" ref="I1840">SUMPRODUCT(([1]OUT_FinalEnergyCons!$B$4:$B$10000="var_cap")*1,(ISNUMBER(SEARCH("RH*-WHELCBR",[1]OUT_FinalEnergyCons!$A$4:$A$10000)))*1,[1]OUT_FinalEnergyCons!G$4:G$10000)</f>
        <v>0.26870210293218161</v>
      </c>
      <c r="J1840" s="1" cm="1">
        <f t="array" ref="J1840">SUMPRODUCT(([1]OUT_FinalEnergyCons!$B$4:$B$10000="var_cap")*1,(ISNUMBER(SEARCH("RH*-WHELCBR",[1]OUT_FinalEnergyCons!$A$4:$A$10000)))*1,[1]OUT_FinalEnergyCons!H$4:H$10000)</f>
        <v>0.15845297062754354</v>
      </c>
      <c r="K1840" s="1" cm="1">
        <f t="array" ref="K1840">SUMPRODUCT(([1]OUT_FinalEnergyCons!$B$4:$B$10000="var_cap")*1,(ISNUMBER(SEARCH("RH*-WHELCBR",[1]OUT_FinalEnergyCons!$A$4:$A$10000)))*1,[1]OUT_FinalEnergyCons!I$4:I$10000)</f>
        <v>0.12617338859356583</v>
      </c>
    </row>
    <row r="1841" spans="2:11" x14ac:dyDescent="0.35">
      <c r="B1841" s="5" t="str">
        <f t="shared" si="1102"/>
        <v>SPS4</v>
      </c>
      <c r="C1841" s="5" t="str">
        <f t="shared" ref="C1841" si="1157">C1840</f>
        <v>CH</v>
      </c>
      <c r="D1841" t="s">
        <v>1883</v>
      </c>
      <c r="E1841" t="str">
        <f t="shared" si="1121"/>
        <v>GWth/yr.</v>
      </c>
      <c r="F1841" s="1" cm="1">
        <f t="array" ref="F1841">SUMPRODUCT(([1]OUT_FinalEnergyCons!$B$4:$B$10000="var_cap")*1,ISNUMBER(SEARCH("RH*-WHELCHP",[1]OUT_FinalEnergyCons!$A$4:$A$10000))*1,[1]OUT_FinalEnergyCons!D$4:D$10000)</f>
        <v>0.21335463555215459</v>
      </c>
      <c r="G1841" s="1" cm="1">
        <f t="array" ref="G1841">SUMPRODUCT(([1]OUT_FinalEnergyCons!$B$4:$B$10000="var_cap")*1,ISNUMBER(SEARCH("RH*-WHELCHP",[1]OUT_FinalEnergyCons!$A$4:$A$10000))*1,[1]OUT_FinalEnergyCons!E$4:E$10000)</f>
        <v>0.24612872623000795</v>
      </c>
      <c r="H1841" s="1" cm="1">
        <f t="array" ref="H1841">SUMPRODUCT(([1]OUT_FinalEnergyCons!$B$4:$B$10000="var_cap")*1,ISNUMBER(SEARCH("RH*-WHELCHP",[1]OUT_FinalEnergyCons!$A$4:$A$10000))*1,[1]OUT_FinalEnergyCons!F$4:F$10000)</f>
        <v>0.31386950241795658</v>
      </c>
      <c r="I1841" s="1" cm="1">
        <f t="array" ref="I1841">SUMPRODUCT(([1]OUT_FinalEnergyCons!$B$4:$B$10000="var_cap")*1,ISNUMBER(SEARCH("RH*-WHELCHP",[1]OUT_FinalEnergyCons!$A$4:$A$10000))*1,[1]OUT_FinalEnergyCons!G$4:G$10000)</f>
        <v>0.46151836483147257</v>
      </c>
      <c r="J1841" s="1" cm="1">
        <f t="array" ref="J1841">SUMPRODUCT(([1]OUT_FinalEnergyCons!$B$4:$B$10000="var_cap")*1,ISNUMBER(SEARCH("RH*-WHELCHP",[1]OUT_FinalEnergyCons!$A$4:$A$10000))*1,[1]OUT_FinalEnergyCons!H$4:H$10000)</f>
        <v>0.70124528314585532</v>
      </c>
      <c r="K1841" s="1" cm="1">
        <f t="array" ref="K1841">SUMPRODUCT(([1]OUT_FinalEnergyCons!$B$4:$B$10000="var_cap")*1,ISNUMBER(SEARCH("RH*-WHELCHP",[1]OUT_FinalEnergyCons!$A$4:$A$10000))*1,[1]OUT_FinalEnergyCons!I$4:I$10000)</f>
        <v>0.91853717579211591</v>
      </c>
    </row>
    <row r="1842" spans="2:11" x14ac:dyDescent="0.35">
      <c r="B1842" s="5" t="str">
        <f t="shared" si="1102"/>
        <v>SPS4</v>
      </c>
      <c r="C1842" s="5" t="str">
        <f t="shared" ref="C1842" si="1158">C1841</f>
        <v>CH</v>
      </c>
      <c r="D1842" t="s">
        <v>1884</v>
      </c>
      <c r="E1842" t="str">
        <f t="shared" si="1121"/>
        <v>GWth/yr.</v>
      </c>
      <c r="F1842" s="1">
        <f>F1843</f>
        <v>0.47738433216181703</v>
      </c>
      <c r="G1842" s="1">
        <f t="shared" ref="G1842" si="1159">G1843</f>
        <v>0.4773809536633703</v>
      </c>
      <c r="H1842" s="1">
        <f t="shared" ref="H1842" si="1160">H1843</f>
        <v>0.4421615527000004</v>
      </c>
      <c r="I1842" s="1">
        <f t="shared" ref="I1842" si="1161">I1843</f>
        <v>0.44206054598385092</v>
      </c>
      <c r="J1842" s="1">
        <f t="shared" ref="J1842" si="1162">J1843</f>
        <v>0.1211233956366724</v>
      </c>
      <c r="K1842" s="1">
        <f t="shared" ref="K1842" si="1163">K1843</f>
        <v>7.5648799479044473E-2</v>
      </c>
    </row>
    <row r="1843" spans="2:11" x14ac:dyDescent="0.35">
      <c r="B1843" s="5" t="str">
        <f t="shared" si="1102"/>
        <v>SPS4</v>
      </c>
      <c r="C1843" s="5" t="str">
        <f t="shared" ref="C1843" si="1164">C1842</f>
        <v>CH</v>
      </c>
      <c r="D1843" t="s">
        <v>1885</v>
      </c>
      <c r="E1843" t="str">
        <f t="shared" si="1121"/>
        <v>GWth/yr.</v>
      </c>
      <c r="F1843" s="1" cm="1">
        <f t="array" ref="F1843">SUMPRODUCT(([1]OUT_FinalEnergyCons!$B$4:$B$10000="var_cap")*1, (ISNUMBER(SEARCH("RH*-WHLFOBR",[1]OUT_FinalEnergyCons!$A$4:$A$10000)))*1,[1]OUT_FinalEnergyCons!D$4:D$10000)</f>
        <v>0.47738433216181703</v>
      </c>
      <c r="G1843" s="1" cm="1">
        <f t="array" ref="G1843">SUMPRODUCT(([1]OUT_FinalEnergyCons!$B$4:$B$10000="var_cap")*1, (ISNUMBER(SEARCH("RH*-WHLFOBR",[1]OUT_FinalEnergyCons!$A$4:$A$10000)))*1,[1]OUT_FinalEnergyCons!E$4:E$10000)</f>
        <v>0.4773809536633703</v>
      </c>
      <c r="H1843" s="1" cm="1">
        <f t="array" ref="H1843">SUMPRODUCT(([1]OUT_FinalEnergyCons!$B$4:$B$10000="var_cap")*1, (ISNUMBER(SEARCH("RH*-WHLFOBR",[1]OUT_FinalEnergyCons!$A$4:$A$10000)))*1,[1]OUT_FinalEnergyCons!F$4:F$10000)</f>
        <v>0.4421615527000004</v>
      </c>
      <c r="I1843" s="1" cm="1">
        <f t="array" ref="I1843">SUMPRODUCT(([1]OUT_FinalEnergyCons!$B$4:$B$10000="var_cap")*1, (ISNUMBER(SEARCH("RH*-WHLFOBR",[1]OUT_FinalEnergyCons!$A$4:$A$10000)))*1,[1]OUT_FinalEnergyCons!G$4:G$10000)</f>
        <v>0.44206054598385092</v>
      </c>
      <c r="J1843" s="1" cm="1">
        <f t="array" ref="J1843">SUMPRODUCT(([1]OUT_FinalEnergyCons!$B$4:$B$10000="var_cap")*1, (ISNUMBER(SEARCH("RH*-WHLFOBR",[1]OUT_FinalEnergyCons!$A$4:$A$10000)))*1,[1]OUT_FinalEnergyCons!H$4:H$10000)</f>
        <v>0.1211233956366724</v>
      </c>
      <c r="K1843" s="1" cm="1">
        <f t="array" ref="K1843">SUMPRODUCT(([1]OUT_FinalEnergyCons!$B$4:$B$10000="var_cap")*1, (ISNUMBER(SEARCH("RH*-WHLFOBR",[1]OUT_FinalEnergyCons!$A$4:$A$10000)))*1,[1]OUT_FinalEnergyCons!I$4:I$10000)</f>
        <v>7.5648799479044473E-2</v>
      </c>
    </row>
    <row r="1844" spans="2:11" x14ac:dyDescent="0.35">
      <c r="B1844" s="5" t="str">
        <f t="shared" ref="B1844:B1907" si="1165">B1843</f>
        <v>SPS4</v>
      </c>
      <c r="C1844" s="5" t="str">
        <f t="shared" ref="C1844" si="1166">C1843</f>
        <v>CH</v>
      </c>
      <c r="D1844" t="s">
        <v>1886</v>
      </c>
      <c r="E1844" t="str">
        <f t="shared" si="1121"/>
        <v>GWth/yr.</v>
      </c>
      <c r="F1844" s="1">
        <f>SUM(F1845:F1846)</f>
        <v>0.43610075806793741</v>
      </c>
      <c r="G1844" s="1">
        <f t="shared" ref="G1844" si="1167">SUM(G1845:G1846)</f>
        <v>0.43609635741632646</v>
      </c>
      <c r="H1844" s="1">
        <f t="shared" ref="H1844" si="1168">SUM(H1845:H1846)</f>
        <v>0.49614126440815737</v>
      </c>
      <c r="I1844" s="1">
        <f t="shared" ref="I1844" si="1169">SUM(I1845:I1846)</f>
        <v>0.58320644710033898</v>
      </c>
      <c r="J1844" s="1">
        <f t="shared" ref="J1844" si="1170">SUM(J1845:J1846)</f>
        <v>0.50688874626649061</v>
      </c>
      <c r="K1844" s="1">
        <f t="shared" ref="K1844" si="1171">SUM(K1845:K1846)</f>
        <v>0.56179665260054623</v>
      </c>
    </row>
    <row r="1845" spans="2:11" x14ac:dyDescent="0.35">
      <c r="B1845" s="5" t="str">
        <f t="shared" si="1165"/>
        <v>SPS4</v>
      </c>
      <c r="C1845" s="5" t="str">
        <f t="shared" ref="C1845" si="1172">C1844</f>
        <v>CH</v>
      </c>
      <c r="D1845" t="s">
        <v>1887</v>
      </c>
      <c r="E1845" t="str">
        <f t="shared" si="1121"/>
        <v>GWth/yr.</v>
      </c>
      <c r="F1845" s="1" cm="1">
        <f t="array" ref="F1845">SUMPRODUCT(([1]OUT_FinalEnergyCons!$B$4:$B$10000="var_cap")*1, (ISNUMBER(SEARCH("RH*-WHNGABR",[1]OUT_FinalEnergyCons!$A$4:$A$10000)))*1,[1]OUT_FinalEnergyCons!D$4:D$10000)</f>
        <v>0.43610075802020798</v>
      </c>
      <c r="G1845" s="1" cm="1">
        <f t="array" ref="G1845">SUMPRODUCT(([1]OUT_FinalEnergyCons!$B$4:$B$10000="var_cap")*1, (ISNUMBER(SEARCH("RH*-WHNGABR",[1]OUT_FinalEnergyCons!$A$4:$A$10000)))*1,[1]OUT_FinalEnergyCons!E$4:E$10000)</f>
        <v>0.43609666966820659</v>
      </c>
      <c r="H1845" s="1" cm="1">
        <f t="array" ref="H1845">SUMPRODUCT(([1]OUT_FinalEnergyCons!$B$4:$B$10000="var_cap")*1, (ISNUMBER(SEARCH("RH*-WHNGABR",[1]OUT_FinalEnergyCons!$A$4:$A$10000)))*1,[1]OUT_FinalEnergyCons!F$4:F$10000)</f>
        <v>0.43609136714046415</v>
      </c>
      <c r="I1845" s="1" cm="1">
        <f t="array" ref="I1845">SUMPRODUCT(([1]OUT_FinalEnergyCons!$B$4:$B$10000="var_cap")*1, (ISNUMBER(SEARCH("RH*-WHNGABR",[1]OUT_FinalEnergyCons!$A$4:$A$10000)))*1,[1]OUT_FinalEnergyCons!G$4:G$10000)</f>
        <v>0.43608951305305893</v>
      </c>
      <c r="J1845" s="1" cm="1">
        <f t="array" ref="J1845">SUMPRODUCT(([1]OUT_FinalEnergyCons!$B$4:$B$10000="var_cap")*1, (ISNUMBER(SEARCH("RH*-WHNGABR",[1]OUT_FinalEnergyCons!$A$4:$A$10000)))*1,[1]OUT_FinalEnergyCons!H$4:H$10000)</f>
        <v>0.21614704958170861</v>
      </c>
      <c r="K1845" s="1" cm="1">
        <f t="array" ref="K1845">SUMPRODUCT(([1]OUT_FinalEnergyCons!$B$4:$B$10000="var_cap")*1, (ISNUMBER(SEARCH("RH*-WHNGABR",[1]OUT_FinalEnergyCons!$A$4:$A$10000)))*1,[1]OUT_FinalEnergyCons!I$4:I$10000)</f>
        <v>0.13921402447910552</v>
      </c>
    </row>
    <row r="1846" spans="2:11" x14ac:dyDescent="0.35">
      <c r="B1846" s="5" t="str">
        <f t="shared" si="1165"/>
        <v>SPS4</v>
      </c>
      <c r="C1846" s="5" t="str">
        <f t="shared" ref="C1846" si="1173">C1845</f>
        <v>CH</v>
      </c>
      <c r="D1846" t="s">
        <v>1888</v>
      </c>
      <c r="E1846" t="str">
        <f t="shared" si="1121"/>
        <v>GWth/yr.</v>
      </c>
      <c r="F1846" s="1" cm="1">
        <f t="array" ref="F1846">SUMPRODUCT(([1]OUT_FinalEnergyCons!$B$4:$B$10000="var_cap")*1,ISNUMBER(SEARCH("RH*-WHngahp",[1]OUT_FinalEnergyCons!$A$4:$A$10000))*1,[1]OUT_FinalEnergyCons!D$4:D$10000)</f>
        <v>4.7729432218241499E-11</v>
      </c>
      <c r="G1846" s="1" cm="1">
        <f t="array" ref="G1846">SUMPRODUCT(([1]OUT_FinalEnergyCons!$B$4:$B$10000="var_cap")*1,ISNUMBER(SEARCH("RH*-WHngahp",[1]OUT_FinalEnergyCons!$A$4:$A$10000))*1,[1]OUT_FinalEnergyCons!E$4:E$10000)</f>
        <v>-3.1225188015708173E-7</v>
      </c>
      <c r="H1846" s="1" cm="1">
        <f t="array" ref="H1846">SUMPRODUCT(([1]OUT_FinalEnergyCons!$B$4:$B$10000="var_cap")*1,ISNUMBER(SEARCH("RH*-WHngahp",[1]OUT_FinalEnergyCons!$A$4:$A$10000))*1,[1]OUT_FinalEnergyCons!F$4:F$10000)</f>
        <v>6.004989726769324E-2</v>
      </c>
      <c r="I1846" s="1" cm="1">
        <f t="array" ref="I1846">SUMPRODUCT(([1]OUT_FinalEnergyCons!$B$4:$B$10000="var_cap")*1,ISNUMBER(SEARCH("RH*-WHngahp",[1]OUT_FinalEnergyCons!$A$4:$A$10000))*1,[1]OUT_FinalEnergyCons!G$4:G$10000)</f>
        <v>0.14711693404728002</v>
      </c>
      <c r="J1846" s="1" cm="1">
        <f t="array" ref="J1846">SUMPRODUCT(([1]OUT_FinalEnergyCons!$B$4:$B$10000="var_cap")*1,ISNUMBER(SEARCH("RH*-WHngahp",[1]OUT_FinalEnergyCons!$A$4:$A$10000))*1,[1]OUT_FinalEnergyCons!H$4:H$10000)</f>
        <v>0.29074169668478206</v>
      </c>
      <c r="K1846" s="1" cm="1">
        <f t="array" ref="K1846">SUMPRODUCT(([1]OUT_FinalEnergyCons!$B$4:$B$10000="var_cap")*1,ISNUMBER(SEARCH("RH*-WHngahp",[1]OUT_FinalEnergyCons!$A$4:$A$10000))*1,[1]OUT_FinalEnergyCons!I$4:I$10000)</f>
        <v>0.42258262812144071</v>
      </c>
    </row>
    <row r="1847" spans="2:11" x14ac:dyDescent="0.35">
      <c r="B1847" s="5" t="str">
        <f t="shared" si="1165"/>
        <v>SPS4</v>
      </c>
      <c r="C1847" s="5" t="str">
        <f t="shared" ref="C1847" si="1174">C1846</f>
        <v>CH</v>
      </c>
      <c r="D1847" t="s">
        <v>1889</v>
      </c>
      <c r="E1847" t="str">
        <f t="shared" si="1121"/>
        <v>GWth/yr.</v>
      </c>
      <c r="F1847" s="1">
        <f>F1848</f>
        <v>0</v>
      </c>
      <c r="G1847" s="1">
        <f t="shared" ref="G1847" si="1175">G1848</f>
        <v>0</v>
      </c>
      <c r="H1847" s="1">
        <f t="shared" ref="H1847" si="1176">H1848</f>
        <v>0</v>
      </c>
      <c r="I1847" s="1">
        <f t="shared" ref="I1847" si="1177">I1848</f>
        <v>0</v>
      </c>
      <c r="J1847" s="1">
        <f t="shared" ref="J1847" si="1178">J1848</f>
        <v>0</v>
      </c>
      <c r="K1847" s="1">
        <f t="shared" ref="K1847" si="1179">K1848</f>
        <v>0</v>
      </c>
    </row>
    <row r="1848" spans="2:11" x14ac:dyDescent="0.35">
      <c r="B1848" s="5" t="str">
        <f t="shared" si="1165"/>
        <v>SPS4</v>
      </c>
      <c r="C1848" s="5" t="str">
        <f t="shared" ref="C1848" si="1180">C1847</f>
        <v>CH</v>
      </c>
      <c r="D1848" t="s">
        <v>1890</v>
      </c>
      <c r="E1848" t="str">
        <f t="shared" si="1121"/>
        <v>GWth/yr.</v>
      </c>
      <c r="F1848" s="1" cm="1">
        <f t="array" ref="F1848">SUMPRODUCT(([1]OUT_FinalEnergyCons!$B$4:$B$10000="var_cap")*1, (ISNUMBER(SEARCH("RH*-WHCOABR",[1]OUT_FinalEnergyCons!$A$4:$A$10000)))*1,[1]OUT_FinalEnergyCons!D$4:D$10000)</f>
        <v>0</v>
      </c>
      <c r="G1848" s="1" cm="1">
        <f t="array" ref="G1848">SUMPRODUCT(([1]OUT_FinalEnergyCons!$B$4:$B$10000="var_cap")*1, (ISNUMBER(SEARCH("RH*-WHCOABR",[1]OUT_FinalEnergyCons!$A$4:$A$10000)))*1,[1]OUT_FinalEnergyCons!E$4:E$10000)</f>
        <v>0</v>
      </c>
      <c r="H1848" s="1" cm="1">
        <f t="array" ref="H1848">SUMPRODUCT(([1]OUT_FinalEnergyCons!$B$4:$B$10000="var_cap")*1, (ISNUMBER(SEARCH("RH*-WHCOABR",[1]OUT_FinalEnergyCons!$A$4:$A$10000)))*1,[1]OUT_FinalEnergyCons!F$4:F$10000)</f>
        <v>0</v>
      </c>
      <c r="I1848" s="1" cm="1">
        <f t="array" ref="I1848">SUMPRODUCT(([1]OUT_FinalEnergyCons!$B$4:$B$10000="var_cap")*1, (ISNUMBER(SEARCH("RH*-WHCOABR",[1]OUT_FinalEnergyCons!$A$4:$A$10000)))*1,[1]OUT_FinalEnergyCons!G$4:G$10000)</f>
        <v>0</v>
      </c>
      <c r="J1848" s="1" cm="1">
        <f t="array" ref="J1848">SUMPRODUCT(([1]OUT_FinalEnergyCons!$B$4:$B$10000="var_cap")*1, (ISNUMBER(SEARCH("RH*-WHCOABR",[1]OUT_FinalEnergyCons!$A$4:$A$10000)))*1,[1]OUT_FinalEnergyCons!H$4:H$10000)</f>
        <v>0</v>
      </c>
      <c r="K1848" s="1" cm="1">
        <f t="array" ref="K1848">SUMPRODUCT(([1]OUT_FinalEnergyCons!$B$4:$B$10000="var_cap")*1, (ISNUMBER(SEARCH("RH*-WHCOABR",[1]OUT_FinalEnergyCons!$A$4:$A$10000)))*1,[1]OUT_FinalEnergyCons!I$4:I$10000)</f>
        <v>0</v>
      </c>
    </row>
    <row r="1849" spans="2:11" x14ac:dyDescent="0.35">
      <c r="B1849" s="5" t="str">
        <f t="shared" si="1165"/>
        <v>SPS4</v>
      </c>
      <c r="C1849" s="5" t="str">
        <f t="shared" ref="C1849" si="1181">C1848</f>
        <v>CH</v>
      </c>
      <c r="D1849" t="s">
        <v>1891</v>
      </c>
      <c r="E1849" t="str">
        <f t="shared" si="1121"/>
        <v>GWth/yr.</v>
      </c>
      <c r="F1849" s="1">
        <f>F1850</f>
        <v>3.5322010722483803E-2</v>
      </c>
      <c r="G1849" s="1">
        <f t="shared" ref="G1849" si="1182">G1850</f>
        <v>4.0677396414341864E-2</v>
      </c>
      <c r="H1849" s="1">
        <f t="shared" ref="H1849" si="1183">H1850</f>
        <v>7.880240518421848E-2</v>
      </c>
      <c r="I1849" s="1">
        <f t="shared" ref="I1849" si="1184">I1850</f>
        <v>8.7738174653805193E-2</v>
      </c>
      <c r="J1849" s="1">
        <f t="shared" ref="J1849" si="1185">J1850</f>
        <v>9.3303673142548421E-2</v>
      </c>
      <c r="K1849" s="1">
        <f t="shared" ref="K1849" si="1186">K1850</f>
        <v>9.7088427328825416E-2</v>
      </c>
    </row>
    <row r="1850" spans="2:11" x14ac:dyDescent="0.35">
      <c r="B1850" s="5" t="str">
        <f t="shared" si="1165"/>
        <v>SPS4</v>
      </c>
      <c r="C1850" s="5" t="str">
        <f t="shared" ref="C1850" si="1187">C1849</f>
        <v>CH</v>
      </c>
      <c r="D1850" t="s">
        <v>1892</v>
      </c>
      <c r="E1850" t="str">
        <f t="shared" si="1121"/>
        <v>GWth/yr.</v>
      </c>
      <c r="F1850" s="1" cm="1">
        <f t="array" ref="F1850">SUMPRODUCT(([1]OUT_FinalEnergyCons!$B$4:$B$10000="var_cap")*1, (ISNUMBER(SEARCH("RH*-WHWODBR",[1]OUT_FinalEnergyCons!$A$4:$A$10000)))*1,[1]OUT_FinalEnergyCons!D$4:D$10000)</f>
        <v>3.5322010722483803E-2</v>
      </c>
      <c r="G1850" s="1" cm="1">
        <f t="array" ref="G1850">SUMPRODUCT(([1]OUT_FinalEnergyCons!$B$4:$B$10000="var_cap")*1, (ISNUMBER(SEARCH("RH*-WHWODBR",[1]OUT_FinalEnergyCons!$A$4:$A$10000)))*1,[1]OUT_FinalEnergyCons!E$4:E$10000)</f>
        <v>4.0677396414341864E-2</v>
      </c>
      <c r="H1850" s="1" cm="1">
        <f t="array" ref="H1850">SUMPRODUCT(([1]OUT_FinalEnergyCons!$B$4:$B$10000="var_cap")*1, (ISNUMBER(SEARCH("RH*-WHWODBR",[1]OUT_FinalEnergyCons!$A$4:$A$10000)))*1,[1]OUT_FinalEnergyCons!F$4:F$10000)</f>
        <v>7.880240518421848E-2</v>
      </c>
      <c r="I1850" s="1" cm="1">
        <f t="array" ref="I1850">SUMPRODUCT(([1]OUT_FinalEnergyCons!$B$4:$B$10000="var_cap")*1, (ISNUMBER(SEARCH("RH*-WHWODBR",[1]OUT_FinalEnergyCons!$A$4:$A$10000)))*1,[1]OUT_FinalEnergyCons!G$4:G$10000)</f>
        <v>8.7738174653805193E-2</v>
      </c>
      <c r="J1850" s="1" cm="1">
        <f t="array" ref="J1850">SUMPRODUCT(([1]OUT_FinalEnergyCons!$B$4:$B$10000="var_cap")*1, (ISNUMBER(SEARCH("RH*-WHWODBR",[1]OUT_FinalEnergyCons!$A$4:$A$10000)))*1,[1]OUT_FinalEnergyCons!H$4:H$10000)</f>
        <v>9.3303673142548421E-2</v>
      </c>
      <c r="K1850" s="1" cm="1">
        <f t="array" ref="K1850">SUMPRODUCT(([1]OUT_FinalEnergyCons!$B$4:$B$10000="var_cap")*1, (ISNUMBER(SEARCH("RH*-WHWODBR",[1]OUT_FinalEnergyCons!$A$4:$A$10000)))*1,[1]OUT_FinalEnergyCons!I$4:I$10000)</f>
        <v>9.7088427328825416E-2</v>
      </c>
    </row>
    <row r="1851" spans="2:11" x14ac:dyDescent="0.35">
      <c r="B1851" s="5" t="str">
        <f t="shared" si="1165"/>
        <v>SPS4</v>
      </c>
      <c r="C1851" s="5" t="str">
        <f t="shared" ref="C1851" si="1188">C1850</f>
        <v>CH</v>
      </c>
      <c r="D1851" t="s">
        <v>1893</v>
      </c>
      <c r="E1851" t="str">
        <f t="shared" si="1121"/>
        <v>GWth/yr.</v>
      </c>
      <c r="F1851" s="1">
        <f>F1852</f>
        <v>1.12410901121583E-2</v>
      </c>
      <c r="G1851" s="1">
        <f t="shared" ref="G1851" si="1189">G1852</f>
        <v>1.3193415958717316E-2</v>
      </c>
      <c r="H1851" s="1">
        <f t="shared" ref="H1851" si="1190">H1852</f>
        <v>1.2578428082522436E-2</v>
      </c>
      <c r="I1851" s="1">
        <f t="shared" ref="I1851" si="1191">I1852</f>
        <v>1.2578885624698711E-2</v>
      </c>
      <c r="J1851" s="1">
        <f t="shared" ref="J1851" si="1192">J1852</f>
        <v>1.6162921084553371E-2</v>
      </c>
      <c r="K1851" s="1">
        <f t="shared" ref="K1851" si="1193">K1852</f>
        <v>2.1925346041351688E-2</v>
      </c>
    </row>
    <row r="1852" spans="2:11" x14ac:dyDescent="0.35">
      <c r="B1852" s="5" t="str">
        <f t="shared" si="1165"/>
        <v>SPS4</v>
      </c>
      <c r="C1852" s="5" t="str">
        <f t="shared" ref="C1852" si="1194">C1851</f>
        <v>CH</v>
      </c>
      <c r="D1852" t="s">
        <v>1894</v>
      </c>
      <c r="E1852" t="str">
        <f t="shared" si="1121"/>
        <v>GWth/yr.</v>
      </c>
      <c r="F1852" s="1" cm="1">
        <f t="array" ref="F1852">SUMPRODUCT(([1]OUT_FinalEnergyCons!$B$4:$B$10000="var_cap")*1, (ISNUMBER(SEARCH("RH*-WHPLTBR",[1]OUT_FinalEnergyCons!$A$4:$A$10000)))*1,[1]OUT_FinalEnergyCons!D$4:D$10000)</f>
        <v>1.12410901121583E-2</v>
      </c>
      <c r="G1852" s="1" cm="1">
        <f t="array" ref="G1852">SUMPRODUCT(([1]OUT_FinalEnergyCons!$B$4:$B$10000="var_cap")*1, (ISNUMBER(SEARCH("RH*-WHPLTBR",[1]OUT_FinalEnergyCons!$A$4:$A$10000)))*1,[1]OUT_FinalEnergyCons!E$4:E$10000)</f>
        <v>1.3193415958717316E-2</v>
      </c>
      <c r="H1852" s="1" cm="1">
        <f t="array" ref="H1852">SUMPRODUCT(([1]OUT_FinalEnergyCons!$B$4:$B$10000="var_cap")*1, (ISNUMBER(SEARCH("RH*-WHPLTBR",[1]OUT_FinalEnergyCons!$A$4:$A$10000)))*1,[1]OUT_FinalEnergyCons!F$4:F$10000)</f>
        <v>1.2578428082522436E-2</v>
      </c>
      <c r="I1852" s="1" cm="1">
        <f t="array" ref="I1852">SUMPRODUCT(([1]OUT_FinalEnergyCons!$B$4:$B$10000="var_cap")*1, (ISNUMBER(SEARCH("RH*-WHPLTBR",[1]OUT_FinalEnergyCons!$A$4:$A$10000)))*1,[1]OUT_FinalEnergyCons!G$4:G$10000)</f>
        <v>1.2578885624698711E-2</v>
      </c>
      <c r="J1852" s="1" cm="1">
        <f t="array" ref="J1852">SUMPRODUCT(([1]OUT_FinalEnergyCons!$B$4:$B$10000="var_cap")*1, (ISNUMBER(SEARCH("RH*-WHPLTBR",[1]OUT_FinalEnergyCons!$A$4:$A$10000)))*1,[1]OUT_FinalEnergyCons!H$4:H$10000)</f>
        <v>1.6162921084553371E-2</v>
      </c>
      <c r="K1852" s="1" cm="1">
        <f t="array" ref="K1852">SUMPRODUCT(([1]OUT_FinalEnergyCons!$B$4:$B$10000="var_cap")*1, (ISNUMBER(SEARCH("RH*-WHPLTBR",[1]OUT_FinalEnergyCons!$A$4:$A$10000)))*1,[1]OUT_FinalEnergyCons!I$4:I$10000)</f>
        <v>2.1925346041351688E-2</v>
      </c>
    </row>
    <row r="1853" spans="2:11" x14ac:dyDescent="0.35">
      <c r="B1853" s="5" t="str">
        <f t="shared" si="1165"/>
        <v>SPS4</v>
      </c>
      <c r="C1853" s="5" t="str">
        <f t="shared" ref="C1853" si="1195">C1852</f>
        <v>CH</v>
      </c>
      <c r="D1853" t="s">
        <v>1895</v>
      </c>
      <c r="E1853" t="str">
        <f t="shared" si="1121"/>
        <v>GWth/yr.</v>
      </c>
      <c r="F1853" s="1">
        <f>F1854</f>
        <v>0.25000991745774798</v>
      </c>
      <c r="G1853" s="1">
        <f t="shared" ref="G1853" si="1196">G1854</f>
        <v>0.33252095029283352</v>
      </c>
      <c r="H1853" s="1">
        <f t="shared" ref="H1853" si="1197">H1854</f>
        <v>0.33251977511541614</v>
      </c>
      <c r="I1853" s="1">
        <f t="shared" ref="I1853" si="1198">I1854</f>
        <v>0.33252058993640476</v>
      </c>
      <c r="J1853" s="1">
        <f t="shared" ref="J1853" si="1199">J1854</f>
        <v>0.29985983050672915</v>
      </c>
      <c r="K1853" s="1">
        <f t="shared" ref="K1853" si="1200">K1854</f>
        <v>0.3504663880745601</v>
      </c>
    </row>
    <row r="1854" spans="2:11" x14ac:dyDescent="0.35">
      <c r="B1854" s="5" t="str">
        <f t="shared" si="1165"/>
        <v>SPS4</v>
      </c>
      <c r="C1854" s="5" t="str">
        <f t="shared" ref="C1854" si="1201">C1853</f>
        <v>CH</v>
      </c>
      <c r="D1854" t="s">
        <v>1896</v>
      </c>
      <c r="E1854" t="str">
        <f t="shared" si="1121"/>
        <v>GWth/yr.</v>
      </c>
      <c r="F1854" s="1" cm="1">
        <f t="array" ref="F1854">SUMPRODUCT(([1]OUT_FinalEnergyCons!$B$4:$B$10000="var_cap")*1, (ISNUMBER(SEARCH("RH*-WHSOLBR",[1]OUT_FinalEnergyCons!$A$4:$A$10000)))*1,[1]OUT_FinalEnergyCons!D$4:D$10000)</f>
        <v>0.25000991745774798</v>
      </c>
      <c r="G1854" s="1" cm="1">
        <f t="array" ref="G1854">SUMPRODUCT(([1]OUT_FinalEnergyCons!$B$4:$B$10000="var_cap")*1, (ISNUMBER(SEARCH("RH*-WHSOLBR",[1]OUT_FinalEnergyCons!$A$4:$A$10000)))*1,[1]OUT_FinalEnergyCons!E$4:E$10000)</f>
        <v>0.33252095029283352</v>
      </c>
      <c r="H1854" s="1" cm="1">
        <f t="array" ref="H1854">SUMPRODUCT(([1]OUT_FinalEnergyCons!$B$4:$B$10000="var_cap")*1, (ISNUMBER(SEARCH("RH*-WHSOLBR",[1]OUT_FinalEnergyCons!$A$4:$A$10000)))*1,[1]OUT_FinalEnergyCons!F$4:F$10000)</f>
        <v>0.33251977511541614</v>
      </c>
      <c r="I1854" s="1" cm="1">
        <f t="array" ref="I1854">SUMPRODUCT(([1]OUT_FinalEnergyCons!$B$4:$B$10000="var_cap")*1, (ISNUMBER(SEARCH("RH*-WHSOLBR",[1]OUT_FinalEnergyCons!$A$4:$A$10000)))*1,[1]OUT_FinalEnergyCons!G$4:G$10000)</f>
        <v>0.33252058993640476</v>
      </c>
      <c r="J1854" s="1" cm="1">
        <f t="array" ref="J1854">SUMPRODUCT(([1]OUT_FinalEnergyCons!$B$4:$B$10000="var_cap")*1, (ISNUMBER(SEARCH("RH*-WHSOLBR",[1]OUT_FinalEnergyCons!$A$4:$A$10000)))*1,[1]OUT_FinalEnergyCons!H$4:H$10000)</f>
        <v>0.29985983050672915</v>
      </c>
      <c r="K1854" s="1" cm="1">
        <f t="array" ref="K1854">SUMPRODUCT(([1]OUT_FinalEnergyCons!$B$4:$B$10000="var_cap")*1, (ISNUMBER(SEARCH("RH*-WHSOLBR",[1]OUT_FinalEnergyCons!$A$4:$A$10000)))*1,[1]OUT_FinalEnergyCons!I$4:I$10000)</f>
        <v>0.3504663880745601</v>
      </c>
    </row>
    <row r="1855" spans="2:11" x14ac:dyDescent="0.35">
      <c r="B1855" s="5" t="str">
        <f t="shared" si="1165"/>
        <v>SPS4</v>
      </c>
      <c r="C1855" s="5" t="str">
        <f t="shared" ref="C1855" si="1202">C1854</f>
        <v>CH</v>
      </c>
      <c r="D1855" t="s">
        <v>1897</v>
      </c>
      <c r="E1855" t="str">
        <f t="shared" si="1121"/>
        <v>GWth/yr.</v>
      </c>
      <c r="F1855" s="1">
        <f>F1856</f>
        <v>0</v>
      </c>
      <c r="G1855" s="1">
        <f t="shared" ref="G1855" si="1203">G1856</f>
        <v>0</v>
      </c>
      <c r="H1855" s="1">
        <f t="shared" ref="H1855" si="1204">H1856</f>
        <v>0</v>
      </c>
      <c r="I1855" s="1">
        <f t="shared" ref="I1855" si="1205">I1856</f>
        <v>0</v>
      </c>
      <c r="J1855" s="1">
        <f t="shared" ref="J1855" si="1206">J1856</f>
        <v>0</v>
      </c>
      <c r="K1855" s="1">
        <f t="shared" ref="K1855" si="1207">K1856</f>
        <v>0</v>
      </c>
    </row>
    <row r="1856" spans="2:11" x14ac:dyDescent="0.35">
      <c r="B1856" s="5" t="str">
        <f t="shared" si="1165"/>
        <v>SPS4</v>
      </c>
      <c r="C1856" s="5" t="str">
        <f t="shared" ref="C1856:C1860" si="1208">C1855</f>
        <v>CH</v>
      </c>
      <c r="D1856" t="s">
        <v>1898</v>
      </c>
      <c r="E1856" t="str">
        <f t="shared" si="1121"/>
        <v>GWth/yr.</v>
      </c>
      <c r="F1856" s="1" cm="1">
        <f t="array" ref="F1856">SUMPRODUCT(([1]OUT_FinalEnergyCons!$B$4:$B$10000="var_cap")*1, (ISNUMBER(SEARCH("RH*-WHH2BR",[1]OUT_FinalEnergyCons!$A$4:$A$10000)))*1,[1]OUT_FinalEnergyCons!D$4:D$10000)</f>
        <v>0</v>
      </c>
      <c r="G1856" s="1" cm="1">
        <f t="array" ref="G1856">SUMPRODUCT(([1]OUT_FinalEnergyCons!$B$4:$B$10000="var_cap")*1, (ISNUMBER(SEARCH("RH*-WHH2BR",[1]OUT_FinalEnergyCons!$A$4:$A$10000)))*1,[1]OUT_FinalEnergyCons!E$4:E$10000)</f>
        <v>0</v>
      </c>
      <c r="H1856" s="1" cm="1">
        <f t="array" ref="H1856">SUMPRODUCT(([1]OUT_FinalEnergyCons!$B$4:$B$10000="var_cap")*1, (ISNUMBER(SEARCH("RH*-WHH2BR",[1]OUT_FinalEnergyCons!$A$4:$A$10000)))*1,[1]OUT_FinalEnergyCons!F$4:F$10000)</f>
        <v>0</v>
      </c>
      <c r="I1856" s="1" cm="1">
        <f t="array" ref="I1856">SUMPRODUCT(([1]OUT_FinalEnergyCons!$B$4:$B$10000="var_cap")*1, (ISNUMBER(SEARCH("RH*-WHH2BR",[1]OUT_FinalEnergyCons!$A$4:$A$10000)))*1,[1]OUT_FinalEnergyCons!G$4:G$10000)</f>
        <v>0</v>
      </c>
      <c r="J1856" s="1" cm="1">
        <f t="array" ref="J1856">SUMPRODUCT(([1]OUT_FinalEnergyCons!$B$4:$B$10000="var_cap")*1, (ISNUMBER(SEARCH("RH*-WHH2BR",[1]OUT_FinalEnergyCons!$A$4:$A$10000)))*1,[1]OUT_FinalEnergyCons!H$4:H$10000)</f>
        <v>0</v>
      </c>
      <c r="K1856" s="1" cm="1">
        <f t="array" ref="K1856">SUMPRODUCT(([1]OUT_FinalEnergyCons!$B$4:$B$10000="var_cap")*1, (ISNUMBER(SEARCH("RH*-WHH2BR",[1]OUT_FinalEnergyCons!$A$4:$A$10000)))*1,[1]OUT_FinalEnergyCons!I$4:I$10000)</f>
        <v>0</v>
      </c>
    </row>
    <row r="1857" spans="2:11" x14ac:dyDescent="0.35">
      <c r="B1857" s="9" t="str">
        <f t="shared" si="1165"/>
        <v>SPS4</v>
      </c>
      <c r="C1857" s="9" t="str">
        <f t="shared" si="1208"/>
        <v>CH</v>
      </c>
      <c r="D1857" s="2" t="s">
        <v>1900</v>
      </c>
      <c r="E1857" s="9" t="str">
        <f t="shared" si="1121"/>
        <v>GWth/yr.</v>
      </c>
      <c r="F1857" s="17">
        <f>SUM(F1858,F1861,F1864,F1868,F1870,F1872,F1874,F1876,F1878)</f>
        <v>3.6005158777968167</v>
      </c>
      <c r="G1857" s="17">
        <f t="shared" ref="G1857:K1857" si="1209">SUM(G1858,G1861,G1864,G1868,G1870,G1872,G1874,G1876,G1878)</f>
        <v>3.7517777285059282</v>
      </c>
      <c r="H1857" s="17">
        <f t="shared" si="1209"/>
        <v>3.6489504604876624</v>
      </c>
      <c r="I1857" s="17">
        <f t="shared" si="1209"/>
        <v>3.6773422362529367</v>
      </c>
      <c r="J1857" s="17">
        <f t="shared" si="1209"/>
        <v>3.4061219661223259</v>
      </c>
      <c r="K1857" s="17">
        <f t="shared" si="1209"/>
        <v>2.9094431292427134</v>
      </c>
    </row>
    <row r="1858" spans="2:11" x14ac:dyDescent="0.35">
      <c r="B1858" s="5" t="str">
        <f t="shared" si="1165"/>
        <v>SPS4</v>
      </c>
      <c r="C1858" s="5" t="str">
        <f t="shared" si="1208"/>
        <v>CH</v>
      </c>
      <c r="D1858" t="s">
        <v>2094</v>
      </c>
      <c r="E1858" t="str">
        <f t="shared" si="1121"/>
        <v>GWth/yr.</v>
      </c>
      <c r="F1858" s="18">
        <f>SUM(F1859:F1860)</f>
        <v>0.61671309762324311</v>
      </c>
      <c r="G1858" s="18">
        <f t="shared" ref="G1858:K1858" si="1210">SUM(G1859:G1860)</f>
        <v>0.8311856294052099</v>
      </c>
      <c r="H1858" s="18">
        <f t="shared" si="1210"/>
        <v>0.84686914565306082</v>
      </c>
      <c r="I1858" s="18">
        <f t="shared" si="1210"/>
        <v>1.0175747818689107</v>
      </c>
      <c r="J1858" s="18">
        <f t="shared" si="1210"/>
        <v>1.2701879694932559</v>
      </c>
      <c r="K1858" s="18">
        <f t="shared" si="1210"/>
        <v>1.1744841954718068</v>
      </c>
    </row>
    <row r="1859" spans="2:11" x14ac:dyDescent="0.35">
      <c r="B1859" s="5" t="str">
        <f t="shared" si="1165"/>
        <v>SPS4</v>
      </c>
      <c r="C1859" s="5" t="str">
        <f t="shared" si="1208"/>
        <v>CH</v>
      </c>
      <c r="D1859" t="s">
        <v>2095</v>
      </c>
      <c r="E1859" t="str">
        <f t="shared" si="1121"/>
        <v>GWth/yr.</v>
      </c>
      <c r="F1859" s="1" cm="1">
        <f t="array" ref="F1859">SUMPRODUCT(([1]OUT_FinalEnergyCons!$B$4:$B$10000="Var_cap")*1,  (ISNUMBER(SEARCH("ITOT-SWHELCBR",[1]OUT_FinalEnergyCons!$A$4:$A$10000)))*1,[1]OUT_FinalEnergyCons!D$4:D$10000)</f>
        <v>0.55644997413134401</v>
      </c>
      <c r="G1859" s="1" cm="1">
        <f t="array" ref="G1859">SUMPRODUCT(([1]OUT_FinalEnergyCons!$B$4:$B$10000="Var_cap")*1,  (ISNUMBER(SEARCH("ITOT-SWHELCBR",[1]OUT_FinalEnergyCons!$A$4:$A$10000)))*1,[1]OUT_FinalEnergyCons!E$4:E$10000)</f>
        <v>0.75487845401414266</v>
      </c>
      <c r="H1859" s="1" cm="1">
        <f t="array" ref="H1859">SUMPRODUCT(([1]OUT_FinalEnergyCons!$B$4:$B$10000="Var_cap")*1,  (ISNUMBER(SEARCH("ITOT-SWHELCBR",[1]OUT_FinalEnergyCons!$A$4:$A$10000)))*1,[1]OUT_FinalEnergyCons!F$4:F$10000)</f>
        <v>0.75509166892756152</v>
      </c>
      <c r="I1859" s="1" cm="1">
        <f t="array" ref="I1859">SUMPRODUCT(([1]OUT_FinalEnergyCons!$B$4:$B$10000="Var_cap")*1,  (ISNUMBER(SEARCH("ITOT-SWHELCBR",[1]OUT_FinalEnergyCons!$A$4:$A$10000)))*1,[1]OUT_FinalEnergyCons!G$4:G$10000)</f>
        <v>0.80703592739756613</v>
      </c>
      <c r="J1859" s="1" cm="1">
        <f t="array" ref="J1859">SUMPRODUCT(([1]OUT_FinalEnergyCons!$B$4:$B$10000="Var_cap")*1,  (ISNUMBER(SEARCH("ITOT-SWHELCBR",[1]OUT_FinalEnergyCons!$A$4:$A$10000)))*1,[1]OUT_FinalEnergyCons!H$4:H$10000)</f>
        <v>0.94968452966353278</v>
      </c>
      <c r="K1859" s="1" cm="1">
        <f t="array" ref="K1859">SUMPRODUCT(([1]OUT_FinalEnergyCons!$B$4:$B$10000="Var_cap")*1,  (ISNUMBER(SEARCH("ITOT-SWHELCBR",[1]OUT_FinalEnergyCons!$A$4:$A$10000)))*1,[1]OUT_FinalEnergyCons!I$4:I$10000)</f>
        <v>0.84416924988309339</v>
      </c>
    </row>
    <row r="1860" spans="2:11" x14ac:dyDescent="0.35">
      <c r="B1860" s="5" t="str">
        <f t="shared" si="1165"/>
        <v>SPS4</v>
      </c>
      <c r="C1860" s="5" t="str">
        <f t="shared" si="1208"/>
        <v>CH</v>
      </c>
      <c r="D1860" t="s">
        <v>2096</v>
      </c>
      <c r="E1860" t="str">
        <f t="shared" si="1121"/>
        <v>GWth/yr.</v>
      </c>
      <c r="F1860" s="1" cm="1">
        <f t="array" ref="F1860">SUMPRODUCT(([1]OUT_FinalEnergyCons!$B$4:$B$10000="Var_cap")*1,  (ISNUMBER(SEARCH("ITOT-SWHELCHP",[1]OUT_FinalEnergyCons!$A$4:$A$10000)))*1,[1]OUT_FinalEnergyCons!D$4:D$10000)</f>
        <v>6.02631234918991E-2</v>
      </c>
      <c r="G1860" s="1" cm="1">
        <f t="array" ref="G1860">SUMPRODUCT(([1]OUT_FinalEnergyCons!$B$4:$B$10000="Var_cap")*1,  (ISNUMBER(SEARCH("ITOT-SWHELCHP",[1]OUT_FinalEnergyCons!$A$4:$A$10000)))*1,[1]OUT_FinalEnergyCons!E$4:E$10000)</f>
        <v>7.6307175391067197E-2</v>
      </c>
      <c r="H1860" s="1" cm="1">
        <f t="array" ref="H1860">SUMPRODUCT(([1]OUT_FinalEnergyCons!$B$4:$B$10000="Var_cap")*1,  (ISNUMBER(SEARCH("ITOT-SWHELCHP",[1]OUT_FinalEnergyCons!$A$4:$A$10000)))*1,[1]OUT_FinalEnergyCons!F$4:F$10000)</f>
        <v>9.1777476725499255E-2</v>
      </c>
      <c r="I1860" s="1" cm="1">
        <f t="array" ref="I1860">SUMPRODUCT(([1]OUT_FinalEnergyCons!$B$4:$B$10000="Var_cap")*1,  (ISNUMBER(SEARCH("ITOT-SWHELCHP",[1]OUT_FinalEnergyCons!$A$4:$A$10000)))*1,[1]OUT_FinalEnergyCons!G$4:G$10000)</f>
        <v>0.21053885447134463</v>
      </c>
      <c r="J1860" s="1" cm="1">
        <f t="array" ref="J1860">SUMPRODUCT(([1]OUT_FinalEnergyCons!$B$4:$B$10000="Var_cap")*1,  (ISNUMBER(SEARCH("ITOT-SWHELCHP",[1]OUT_FinalEnergyCons!$A$4:$A$10000)))*1,[1]OUT_FinalEnergyCons!H$4:H$10000)</f>
        <v>0.32050343982972318</v>
      </c>
      <c r="K1860" s="1" cm="1">
        <f t="array" ref="K1860">SUMPRODUCT(([1]OUT_FinalEnergyCons!$B$4:$B$10000="Var_cap")*1,  (ISNUMBER(SEARCH("ITOT-SWHELCHP",[1]OUT_FinalEnergyCons!$A$4:$A$10000)))*1,[1]OUT_FinalEnergyCons!I$4:I$10000)</f>
        <v>0.33031494558871333</v>
      </c>
    </row>
    <row r="1861" spans="2:11" x14ac:dyDescent="0.35">
      <c r="B1861" s="5" t="str">
        <f t="shared" si="1165"/>
        <v>SPS4</v>
      </c>
      <c r="C1861" s="5" t="str">
        <f>C1860</f>
        <v>CH</v>
      </c>
      <c r="D1861" t="s">
        <v>2097</v>
      </c>
      <c r="E1861" t="str">
        <f t="shared" si="1121"/>
        <v>GWth/yr.</v>
      </c>
      <c r="F1861" s="18">
        <f>SUM(F1862:F1863)</f>
        <v>0.47743657184744714</v>
      </c>
      <c r="G1861" s="18">
        <f t="shared" ref="G1861:K1861" si="1211">SUM(G1862:G1863)</f>
        <v>0.49383199125514043</v>
      </c>
      <c r="H1861" s="18">
        <f t="shared" si="1211"/>
        <v>0.39293292020219023</v>
      </c>
      <c r="I1861" s="18">
        <f t="shared" si="1211"/>
        <v>0.39271275457082172</v>
      </c>
      <c r="J1861" s="18">
        <f t="shared" si="1211"/>
        <v>0.15673296711836757</v>
      </c>
      <c r="K1861" s="18">
        <f t="shared" si="1211"/>
        <v>5.3390687382647524E-2</v>
      </c>
    </row>
    <row r="1862" spans="2:11" x14ac:dyDescent="0.35">
      <c r="B1862" s="5" t="str">
        <f t="shared" si="1165"/>
        <v>SPS4</v>
      </c>
      <c r="C1862" s="5" t="str">
        <f t="shared" ref="C1862:C1879" si="1212">C1861</f>
        <v>CH</v>
      </c>
      <c r="D1862" t="s">
        <v>2098</v>
      </c>
      <c r="E1862" t="str">
        <f t="shared" si="1121"/>
        <v>GWth/yr.</v>
      </c>
      <c r="F1862" s="1" cm="1">
        <f t="array" ref="F1862">SUMPRODUCT(([1]OUT_FinalEnergyCons!$B$4:$B$10000="Var_cap")*1,  (ISNUMBER(SEARCH("ITOT-SWHLFOBR",[1]OUT_FinalEnergyCons!$A$4:$A$10000)))*1,[1]OUT_FinalEnergyCons!D$4:D$10000)</f>
        <v>0.37633543963083199</v>
      </c>
      <c r="G1862" s="1" cm="1">
        <f t="array" ref="G1862">SUMPRODUCT(([1]OUT_FinalEnergyCons!$B$4:$B$10000="Var_cap")*1,  (ISNUMBER(SEARCH("ITOT-SWHLFOBR",[1]OUT_FinalEnergyCons!$A$4:$A$10000)))*1,[1]OUT_FinalEnergyCons!E$4:E$10000)</f>
        <v>0.39275664965785967</v>
      </c>
      <c r="H1862" s="1" cm="1">
        <f t="array" ref="H1862">SUMPRODUCT(([1]OUT_FinalEnergyCons!$B$4:$B$10000="Var_cap")*1,  (ISNUMBER(SEARCH("ITOT-SWHLFOBR",[1]OUT_FinalEnergyCons!$A$4:$A$10000)))*1,[1]OUT_FinalEnergyCons!F$4:F$10000)</f>
        <v>0.39272377636492972</v>
      </c>
      <c r="I1862" s="1" cm="1">
        <f t="array" ref="I1862">SUMPRODUCT(([1]OUT_FinalEnergyCons!$B$4:$B$10000="Var_cap")*1,  (ISNUMBER(SEARCH("ITOT-SWHLFOBR",[1]OUT_FinalEnergyCons!$A$4:$A$10000)))*1,[1]OUT_FinalEnergyCons!G$4:G$10000)</f>
        <v>0.39267412655765027</v>
      </c>
      <c r="J1862" s="1" cm="1">
        <f t="array" ref="J1862">SUMPRODUCT(([1]OUT_FinalEnergyCons!$B$4:$B$10000="Var_cap")*1,  (ISNUMBER(SEARCH("ITOT-SWHLFOBR",[1]OUT_FinalEnergyCons!$A$4:$A$10000)))*1,[1]OUT_FinalEnergyCons!H$4:H$10000)</f>
        <v>0.15668643704253832</v>
      </c>
      <c r="K1862" s="1" cm="1">
        <f t="array" ref="K1862">SUMPRODUCT(([1]OUT_FinalEnergyCons!$B$4:$B$10000="Var_cap")*1,  (ISNUMBER(SEARCH("ITOT-SWHLFOBR",[1]OUT_FinalEnergyCons!$A$4:$A$10000)))*1,[1]OUT_FinalEnergyCons!I$4:I$10000)</f>
        <v>5.3394287552167102E-2</v>
      </c>
    </row>
    <row r="1863" spans="2:11" x14ac:dyDescent="0.35">
      <c r="B1863" s="5" t="str">
        <f t="shared" si="1165"/>
        <v>SPS4</v>
      </c>
      <c r="C1863" s="5" t="str">
        <f t="shared" si="1212"/>
        <v>CH</v>
      </c>
      <c r="D1863" t="s">
        <v>2099</v>
      </c>
      <c r="E1863" t="str">
        <f t="shared" si="1121"/>
        <v>GWth/yr.</v>
      </c>
      <c r="F1863" s="1" cm="1">
        <f t="array" ref="F1863">SUMPRODUCT(([1]OUT_FinalEnergyCons!$B$4:$B$10000="Var_cap")*1,  (ISNUMBER(SEARCH("ITOT-SWHHFOBR",[1]OUT_FinalEnergyCons!$A$4:$A$10000)))*1,[1]OUT_FinalEnergyCons!D$4:D$10000)</f>
        <v>0.10110113221661518</v>
      </c>
      <c r="G1863" s="1" cm="1">
        <f t="array" ref="G1863">SUMPRODUCT(([1]OUT_FinalEnergyCons!$B$4:$B$10000="Var_cap")*1,  (ISNUMBER(SEARCH("ITOT-SWHHFOBR",[1]OUT_FinalEnergyCons!$A$4:$A$10000)))*1,[1]OUT_FinalEnergyCons!E$4:E$10000)</f>
        <v>0.10107534159728075</v>
      </c>
      <c r="H1863" s="1" cm="1">
        <f t="array" ref="H1863">SUMPRODUCT(([1]OUT_FinalEnergyCons!$B$4:$B$10000="Var_cap")*1,  (ISNUMBER(SEARCH("ITOT-SWHHFOBR",[1]OUT_FinalEnergyCons!$A$4:$A$10000)))*1,[1]OUT_FinalEnergyCons!F$4:F$10000)</f>
        <v>2.0914383726050589E-4</v>
      </c>
      <c r="I1863" s="1" cm="1">
        <f t="array" ref="I1863">SUMPRODUCT(([1]OUT_FinalEnergyCons!$B$4:$B$10000="Var_cap")*1,  (ISNUMBER(SEARCH("ITOT-SWHHFOBR",[1]OUT_FinalEnergyCons!$A$4:$A$10000)))*1,[1]OUT_FinalEnergyCons!G$4:G$10000)</f>
        <v>3.8628013171462805E-5</v>
      </c>
      <c r="J1863" s="1" cm="1">
        <f t="array" ref="J1863">SUMPRODUCT(([1]OUT_FinalEnergyCons!$B$4:$B$10000="Var_cap")*1,  (ISNUMBER(SEARCH("ITOT-SWHHFOBR",[1]OUT_FinalEnergyCons!$A$4:$A$10000)))*1,[1]OUT_FinalEnergyCons!H$4:H$10000)</f>
        <v>4.6530075829246599E-5</v>
      </c>
      <c r="K1863" s="1" cm="1">
        <f t="array" ref="K1863">SUMPRODUCT(([1]OUT_FinalEnergyCons!$B$4:$B$10000="Var_cap")*1,  (ISNUMBER(SEARCH("ITOT-SWHHFOBR",[1]OUT_FinalEnergyCons!$A$4:$A$10000)))*1,[1]OUT_FinalEnergyCons!I$4:I$10000)</f>
        <v>-3.6001695195772012E-6</v>
      </c>
    </row>
    <row r="1864" spans="2:11" x14ac:dyDescent="0.35">
      <c r="B1864" s="5" t="str">
        <f t="shared" si="1165"/>
        <v>SPS4</v>
      </c>
      <c r="C1864" s="5" t="str">
        <f t="shared" si="1212"/>
        <v>CH</v>
      </c>
      <c r="D1864" t="s">
        <v>2100</v>
      </c>
      <c r="E1864" t="str">
        <f t="shared" si="1121"/>
        <v>GWth/yr.</v>
      </c>
      <c r="F1864" s="18">
        <f>SUM(F1865:F1866)</f>
        <v>1.556581895256</v>
      </c>
      <c r="G1864" s="18">
        <f t="shared" ref="G1864:K1864" si="1213">SUM(G1865:G1866)</f>
        <v>1.5571665545958706</v>
      </c>
      <c r="H1864" s="18">
        <f t="shared" si="1213"/>
        <v>1.5571403547577909</v>
      </c>
      <c r="I1864" s="18">
        <f t="shared" si="1213"/>
        <v>1.5570537496017645</v>
      </c>
      <c r="J1864" s="18">
        <f t="shared" si="1213"/>
        <v>1.4258183009642749</v>
      </c>
      <c r="K1864" s="18">
        <f t="shared" si="1213"/>
        <v>1.1225291857502979</v>
      </c>
    </row>
    <row r="1865" spans="2:11" x14ac:dyDescent="0.35">
      <c r="B1865" s="5" t="str">
        <f t="shared" si="1165"/>
        <v>SPS4</v>
      </c>
      <c r="C1865" s="5" t="str">
        <f t="shared" si="1212"/>
        <v>CH</v>
      </c>
      <c r="D1865" t="s">
        <v>2101</v>
      </c>
      <c r="E1865" t="str">
        <f t="shared" si="1121"/>
        <v>GWth/yr.</v>
      </c>
      <c r="F1865" s="1" cm="1">
        <f t="array" ref="F1865">SUMPRODUCT(([1]OUT_FinalEnergyCons!$B$4:$B$10000="Var_cap")*1,  (ISNUMBER(SEARCH("ITOT-SWHNGA*BR",[1]OUT_FinalEnergyCons!$A$4:$A$10000)))*1,[1]OUT_FinalEnergyCons!D$4:D$10000)</f>
        <v>1.556581895256</v>
      </c>
      <c r="G1865" s="1" cm="1">
        <f t="array" ref="G1865">SUMPRODUCT(([1]OUT_FinalEnergyCons!$B$4:$B$10000="Var_cap")*1,  (ISNUMBER(SEARCH("ITOT-SWHNGA*BR",[1]OUT_FinalEnergyCons!$A$4:$A$10000)))*1,[1]OUT_FinalEnergyCons!E$4:E$10000)</f>
        <v>1.5565644277333661</v>
      </c>
      <c r="H1865" s="1" cm="1">
        <f t="array" ref="H1865">SUMPRODUCT(([1]OUT_FinalEnergyCons!$B$4:$B$10000="Var_cap")*1,  (ISNUMBER(SEARCH("ITOT-SWHNGA*BR",[1]OUT_FinalEnergyCons!$A$4:$A$10000)))*1,[1]OUT_FinalEnergyCons!F$4:F$10000)</f>
        <v>1.5565346470634109</v>
      </c>
      <c r="I1865" s="1" cm="1">
        <f t="array" ref="I1865">SUMPRODUCT(([1]OUT_FinalEnergyCons!$B$4:$B$10000="Var_cap")*1,  (ISNUMBER(SEARCH("ITOT-SWHNGA*BR",[1]OUT_FinalEnergyCons!$A$4:$A$10000)))*1,[1]OUT_FinalEnergyCons!G$4:G$10000)</f>
        <v>1.556444112610855</v>
      </c>
      <c r="J1865" s="1" cm="1">
        <f t="array" ref="J1865">SUMPRODUCT(([1]OUT_FinalEnergyCons!$B$4:$B$10000="Var_cap")*1,  (ISNUMBER(SEARCH("ITOT-SWHNGA*BR",[1]OUT_FinalEnergyCons!$A$4:$A$10000)))*1,[1]OUT_FinalEnergyCons!H$4:H$10000)</f>
        <v>1.4241382578137716</v>
      </c>
      <c r="K1865" s="1" cm="1">
        <f t="array" ref="K1865">SUMPRODUCT(([1]OUT_FinalEnergyCons!$B$4:$B$10000="Var_cap")*1,  (ISNUMBER(SEARCH("ITOT-SWHNGA*BR",[1]OUT_FinalEnergyCons!$A$4:$A$10000)))*1,[1]OUT_FinalEnergyCons!I$4:I$10000)</f>
        <v>1.1079343782866689</v>
      </c>
    </row>
    <row r="1866" spans="2:11" x14ac:dyDescent="0.35">
      <c r="B1866" s="5" t="str">
        <f t="shared" si="1165"/>
        <v>SPS4</v>
      </c>
      <c r="C1866" s="5" t="str">
        <f t="shared" si="1212"/>
        <v>CH</v>
      </c>
      <c r="D1866" t="s">
        <v>2102</v>
      </c>
      <c r="E1866" t="str">
        <f t="shared" si="1121"/>
        <v>GWth/yr.</v>
      </c>
      <c r="F1866" s="1" cm="1">
        <f t="array" ref="F1866">SUMPRODUCT(([1]OUT_FinalEnergyCons!$B$4:$B$10000="Var_cap")*1,  (ISNUMBER(SEARCH("ITOT-SWHNGAHP",[1]OUT_FinalEnergyCons!$A$4:$A$10000)))*1,[1]OUT_FinalEnergyCons!D$4:D$10000)</f>
        <v>0</v>
      </c>
      <c r="G1866" s="1" cm="1">
        <f t="array" ref="G1866">SUMPRODUCT(([1]OUT_FinalEnergyCons!$B$4:$B$10000="Var_cap")*1,  (ISNUMBER(SEARCH("ITOT-SWHNGAHP",[1]OUT_FinalEnergyCons!$A$4:$A$10000)))*1,[1]OUT_FinalEnergyCons!E$4:E$10000)</f>
        <v>6.0212686250439302E-4</v>
      </c>
      <c r="H1866" s="1" cm="1">
        <f t="array" ref="H1866">SUMPRODUCT(([1]OUT_FinalEnergyCons!$B$4:$B$10000="Var_cap")*1,  (ISNUMBER(SEARCH("ITOT-SWHNGAHP",[1]OUT_FinalEnergyCons!$A$4:$A$10000)))*1,[1]OUT_FinalEnergyCons!F$4:F$10000)</f>
        <v>6.0570769438004904E-4</v>
      </c>
      <c r="I1866" s="1" cm="1">
        <f t="array" ref="I1866">SUMPRODUCT(([1]OUT_FinalEnergyCons!$B$4:$B$10000="Var_cap")*1,  (ISNUMBER(SEARCH("ITOT-SWHNGAHP",[1]OUT_FinalEnergyCons!$A$4:$A$10000)))*1,[1]OUT_FinalEnergyCons!G$4:G$10000)</f>
        <v>6.0963699090937191E-4</v>
      </c>
      <c r="J1866" s="1" cm="1">
        <f t="array" ref="J1866">SUMPRODUCT(([1]OUT_FinalEnergyCons!$B$4:$B$10000="Var_cap")*1,  (ISNUMBER(SEARCH("ITOT-SWHNGAHP",[1]OUT_FinalEnergyCons!$A$4:$A$10000)))*1,[1]OUT_FinalEnergyCons!H$4:H$10000)</f>
        <v>1.6800431505032045E-3</v>
      </c>
      <c r="K1866" s="1" cm="1">
        <f t="array" ref="K1866">SUMPRODUCT(([1]OUT_FinalEnergyCons!$B$4:$B$10000="Var_cap")*1,  (ISNUMBER(SEARCH("ITOT-SWHNGAHP",[1]OUT_FinalEnergyCons!$A$4:$A$10000)))*1,[1]OUT_FinalEnergyCons!I$4:I$10000)</f>
        <v>1.4594807463629169E-2</v>
      </c>
    </row>
    <row r="1867" spans="2:11" x14ac:dyDescent="0.35">
      <c r="B1867" s="5" t="str">
        <f t="shared" si="1165"/>
        <v>SPS4</v>
      </c>
      <c r="C1867" s="5" t="str">
        <f t="shared" si="1212"/>
        <v>CH</v>
      </c>
      <c r="D1867" t="s">
        <v>2103</v>
      </c>
      <c r="E1867" t="str">
        <f t="shared" si="1121"/>
        <v>GWth/yr.</v>
      </c>
      <c r="F1867" s="1" cm="1">
        <f t="array" ref="F1867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67" s="1" cm="1">
        <f t="array" ref="G1867">SUMPRODUCT(([1]OUT_FinalEnergyCons!$B$4:$B$10000="Var_cap")*1,  (("ITOT-SWHBIOBR"=[1]OUT_FinalEnergyCons!$A$4:$A$10000)*1+("ITOT-SWHBNGABR"=[1]OUT_FinalEnergyCons!$A$4:$A$10000))*1,[1]OUT_FinalEnergyCons!E$4:E$10000)</f>
        <v>3.3932092713885788E-2</v>
      </c>
      <c r="H1867" s="1" cm="1">
        <f t="array" ref="H1867">SUMPRODUCT(([1]OUT_FinalEnergyCons!$B$4:$B$10000="Var_cap")*1,  (("ITOT-SWHBIOBR"=[1]OUT_FinalEnergyCons!$A$4:$A$10000)*1+("ITOT-SWHBNGABR"=[1]OUT_FinalEnergyCons!$A$4:$A$10000))*1,[1]OUT_FinalEnergyCons!F$4:F$10000)</f>
        <v>0.10756753836498074</v>
      </c>
      <c r="I1867" s="1" cm="1">
        <f t="array" ref="I1867">SUMPRODUCT(([1]OUT_FinalEnergyCons!$B$4:$B$10000="Var_cap")*1,  (("ITOT-SWHBIOBR"=[1]OUT_FinalEnergyCons!$A$4:$A$10000)*1+("ITOT-SWHBNGABR"=[1]OUT_FinalEnergyCons!$A$4:$A$10000))*1,[1]OUT_FinalEnergyCons!G$4:G$10000)</f>
        <v>0.21797666123010262</v>
      </c>
      <c r="J1867" s="1" cm="1">
        <f t="array" ref="J1867">SUMPRODUCT(([1]OUT_FinalEnergyCons!$B$4:$B$10000="Var_cap")*1,  (("ITOT-SWHBIOBR"=[1]OUT_FinalEnergyCons!$A$4:$A$10000)*1+("ITOT-SWHBNGABR"=[1]OUT_FinalEnergyCons!$A$4:$A$10000))*1,[1]OUT_FinalEnergyCons!H$4:H$10000)</f>
        <v>0.29844650553819374</v>
      </c>
      <c r="K1867" s="1" cm="1">
        <f t="array" ref="K1867">SUMPRODUCT(([1]OUT_FinalEnergyCons!$B$4:$B$10000="Var_cap")*1,  (("ITOT-SWHBIOBR"=[1]OUT_FinalEnergyCons!$A$4:$A$10000)*1+("ITOT-SWHBNGABR"=[1]OUT_FinalEnergyCons!$A$4:$A$10000))*1,[1]OUT_FinalEnergyCons!I$4:I$10000)</f>
        <v>0.54240194765149663</v>
      </c>
    </row>
    <row r="1868" spans="2:11" x14ac:dyDescent="0.35">
      <c r="B1868" s="5" t="str">
        <f t="shared" si="1165"/>
        <v>SPS4</v>
      </c>
      <c r="C1868" s="5" t="str">
        <f t="shared" si="1212"/>
        <v>CH</v>
      </c>
      <c r="D1868" t="s">
        <v>2104</v>
      </c>
      <c r="E1868" t="str">
        <f t="shared" si="1121"/>
        <v>GWth/yr.</v>
      </c>
      <c r="F1868" s="1">
        <f>F1869</f>
        <v>0.26172155007150499</v>
      </c>
      <c r="G1868" s="1">
        <f t="shared" ref="G1868:K1868" si="1214">G1869</f>
        <v>0.1566039414791934</v>
      </c>
      <c r="H1868" s="1">
        <f t="shared" si="1214"/>
        <v>0.14342863534684663</v>
      </c>
      <c r="I1868" s="1">
        <f t="shared" si="1214"/>
        <v>4.1030595670787928E-5</v>
      </c>
      <c r="J1868" s="1">
        <f t="shared" si="1214"/>
        <v>4.0477770750096503E-5</v>
      </c>
      <c r="K1868" s="1">
        <f t="shared" si="1214"/>
        <v>2.2574532848682472E-5</v>
      </c>
    </row>
    <row r="1869" spans="2:11" x14ac:dyDescent="0.35">
      <c r="B1869" s="5" t="str">
        <f t="shared" si="1165"/>
        <v>SPS4</v>
      </c>
      <c r="C1869" s="5" t="str">
        <f t="shared" si="1212"/>
        <v>CH</v>
      </c>
      <c r="D1869" t="s">
        <v>2105</v>
      </c>
      <c r="E1869" t="str">
        <f t="shared" si="1121"/>
        <v>GWth/yr.</v>
      </c>
      <c r="F1869" s="1" cm="1">
        <f t="array" ref="F1869">SUMPRODUCT(([1]OUT_FinalEnergyCons!$B$4:$B$10000="Var_cap")*1,  (ISNUMBER(SEARCH("ITOT-SWHCOA*BR",[1]OUT_FinalEnergyCons!$A$4:$A$10000)))*1,[1]OUT_FinalEnergyCons!D$4:D$10000)</f>
        <v>0.26172155007150499</v>
      </c>
      <c r="G1869" s="1" cm="1">
        <f t="array" ref="G1869">SUMPRODUCT(([1]OUT_FinalEnergyCons!$B$4:$B$10000="Var_cap")*1,  (ISNUMBER(SEARCH("ITOT-SWHCOA*BR",[1]OUT_FinalEnergyCons!$A$4:$A$10000)))*1,[1]OUT_FinalEnergyCons!E$4:E$10000)</f>
        <v>0.1566039414791934</v>
      </c>
      <c r="H1869" s="1" cm="1">
        <f t="array" ref="H1869">SUMPRODUCT(([1]OUT_FinalEnergyCons!$B$4:$B$10000="Var_cap")*1,  (ISNUMBER(SEARCH("ITOT-SWHCOA*BR",[1]OUT_FinalEnergyCons!$A$4:$A$10000)))*1,[1]OUT_FinalEnergyCons!F$4:F$10000)</f>
        <v>0.14342863534684663</v>
      </c>
      <c r="I1869" s="1" cm="1">
        <f t="array" ref="I1869">SUMPRODUCT(([1]OUT_FinalEnergyCons!$B$4:$B$10000="Var_cap")*1,  (ISNUMBER(SEARCH("ITOT-SWHCOA*BR",[1]OUT_FinalEnergyCons!$A$4:$A$10000)))*1,[1]OUT_FinalEnergyCons!G$4:G$10000)</f>
        <v>4.1030595670787928E-5</v>
      </c>
      <c r="J1869" s="1" cm="1">
        <f t="array" ref="J1869">SUMPRODUCT(([1]OUT_FinalEnergyCons!$B$4:$B$10000="Var_cap")*1,  (ISNUMBER(SEARCH("ITOT-SWHCOA*BR",[1]OUT_FinalEnergyCons!$A$4:$A$10000)))*1,[1]OUT_FinalEnergyCons!H$4:H$10000)</f>
        <v>4.0477770750096503E-5</v>
      </c>
      <c r="K1869" s="1" cm="1">
        <f t="array" ref="K1869">SUMPRODUCT(([1]OUT_FinalEnergyCons!$B$4:$B$10000="Var_cap")*1,  (ISNUMBER(SEARCH("ITOT-SWHCOA*BR",[1]OUT_FinalEnergyCons!$A$4:$A$10000)))*1,[1]OUT_FinalEnergyCons!I$4:I$10000)</f>
        <v>2.2574532848682472E-5</v>
      </c>
    </row>
    <row r="1870" spans="2:11" x14ac:dyDescent="0.35">
      <c r="B1870" s="5" t="str">
        <f t="shared" si="1165"/>
        <v>SPS4</v>
      </c>
      <c r="C1870" s="5" t="str">
        <f t="shared" si="1212"/>
        <v>CH</v>
      </c>
      <c r="D1870" t="s">
        <v>2106</v>
      </c>
      <c r="E1870" t="str">
        <f t="shared" si="1121"/>
        <v>GWth/yr.</v>
      </c>
      <c r="F1870" s="1">
        <f>F1871</f>
        <v>0.28883369534761499</v>
      </c>
      <c r="G1870" s="1">
        <f t="shared" ref="G1870:K1870" si="1215">G1871</f>
        <v>0.34109834117387844</v>
      </c>
      <c r="H1870" s="1">
        <f t="shared" si="1215"/>
        <v>0.34103905760689424</v>
      </c>
      <c r="I1870" s="1">
        <f t="shared" si="1215"/>
        <v>0.34101894011388167</v>
      </c>
      <c r="J1870" s="1">
        <f t="shared" si="1215"/>
        <v>0.31821596223039877</v>
      </c>
      <c r="K1870" s="1">
        <f t="shared" si="1215"/>
        <v>0.31335460801383186</v>
      </c>
    </row>
    <row r="1871" spans="2:11" x14ac:dyDescent="0.35">
      <c r="B1871" s="5" t="str">
        <f t="shared" si="1165"/>
        <v>SPS4</v>
      </c>
      <c r="C1871" s="5" t="str">
        <f t="shared" si="1212"/>
        <v>CH</v>
      </c>
      <c r="D1871" t="s">
        <v>2107</v>
      </c>
      <c r="E1871" t="str">
        <f t="shared" si="1121"/>
        <v>GWth/yr.</v>
      </c>
      <c r="F1871" s="1" cm="1">
        <f t="array" ref="F1871">SUMPRODUCT(([1]OUT_FinalEnergyCons!$B$4:$B$10000="Var_cap")*1,  (ISNUMBER(SEARCH("ITOT-SWHWOD*BR",[1]OUT_FinalEnergyCons!$A$4:$A$10000)))*1,[1]OUT_FinalEnergyCons!D$4:D$10000)</f>
        <v>0.28883369534761499</v>
      </c>
      <c r="G1871" s="1" cm="1">
        <f t="array" ref="G1871">SUMPRODUCT(([1]OUT_FinalEnergyCons!$B$4:$B$10000="Var_cap")*1,  (ISNUMBER(SEARCH("ITOT-SWHWOD*BR",[1]OUT_FinalEnergyCons!$A$4:$A$10000)))*1,[1]OUT_FinalEnergyCons!E$4:E$10000)</f>
        <v>0.34109834117387844</v>
      </c>
      <c r="H1871" s="1" cm="1">
        <f t="array" ref="H1871">SUMPRODUCT(([1]OUT_FinalEnergyCons!$B$4:$B$10000="Var_cap")*1,  (ISNUMBER(SEARCH("ITOT-SWHWOD*BR",[1]OUT_FinalEnergyCons!$A$4:$A$10000)))*1,[1]OUT_FinalEnergyCons!F$4:F$10000)</f>
        <v>0.34103905760689424</v>
      </c>
      <c r="I1871" s="1" cm="1">
        <f t="array" ref="I1871">SUMPRODUCT(([1]OUT_FinalEnergyCons!$B$4:$B$10000="Var_cap")*1,  (ISNUMBER(SEARCH("ITOT-SWHWOD*BR",[1]OUT_FinalEnergyCons!$A$4:$A$10000)))*1,[1]OUT_FinalEnergyCons!G$4:G$10000)</f>
        <v>0.34101894011388167</v>
      </c>
      <c r="J1871" s="1" cm="1">
        <f t="array" ref="J1871">SUMPRODUCT(([1]OUT_FinalEnergyCons!$B$4:$B$10000="Var_cap")*1,  (ISNUMBER(SEARCH("ITOT-SWHWOD*BR",[1]OUT_FinalEnergyCons!$A$4:$A$10000)))*1,[1]OUT_FinalEnergyCons!H$4:H$10000)</f>
        <v>0.31821596223039877</v>
      </c>
      <c r="K1871" s="1" cm="1">
        <f t="array" ref="K1871">SUMPRODUCT(([1]OUT_FinalEnergyCons!$B$4:$B$10000="Var_cap")*1,  (ISNUMBER(SEARCH("ITOT-SWHWOD*BR",[1]OUT_FinalEnergyCons!$A$4:$A$10000)))*1,[1]OUT_FinalEnergyCons!I$4:I$10000)</f>
        <v>0.31335460801383186</v>
      </c>
    </row>
    <row r="1872" spans="2:11" x14ac:dyDescent="0.35">
      <c r="B1872" s="5" t="str">
        <f t="shared" si="1165"/>
        <v>SPS4</v>
      </c>
      <c r="C1872" s="5" t="str">
        <f t="shared" si="1212"/>
        <v>CH</v>
      </c>
      <c r="D1872" t="s">
        <v>2108</v>
      </c>
      <c r="E1872" t="str">
        <f t="shared" si="1121"/>
        <v>GWth/yr.</v>
      </c>
      <c r="F1872" s="1">
        <f>F1873</f>
        <v>2.9860759506449799E-2</v>
      </c>
      <c r="G1872" s="1">
        <f t="shared" ref="G1872:K1872" si="1216">G1873</f>
        <v>3.802009230810826E-2</v>
      </c>
      <c r="H1872" s="1">
        <f t="shared" si="1216"/>
        <v>3.8016201684635501E-2</v>
      </c>
      <c r="I1872" s="1">
        <f t="shared" si="1216"/>
        <v>3.8008287836926891E-2</v>
      </c>
      <c r="J1872" s="1">
        <f t="shared" si="1216"/>
        <v>4.1156600529967786E-2</v>
      </c>
      <c r="K1872" s="1">
        <f t="shared" si="1216"/>
        <v>4.0339778926828537E-2</v>
      </c>
    </row>
    <row r="1873" spans="2:11" x14ac:dyDescent="0.35">
      <c r="B1873" s="5" t="str">
        <f t="shared" si="1165"/>
        <v>SPS4</v>
      </c>
      <c r="C1873" s="5" t="str">
        <f t="shared" si="1212"/>
        <v>CH</v>
      </c>
      <c r="D1873" t="s">
        <v>2109</v>
      </c>
      <c r="E1873" t="str">
        <f t="shared" si="1121"/>
        <v>GWth/yr.</v>
      </c>
      <c r="F1873" s="1" cm="1">
        <f t="array" ref="F1873">SUMPRODUCT(([1]OUT_FinalEnergyCons!$B$4:$B$10000="Var_cap")*1,  (ISNUMBER(SEARCH("ITOT-SWHPLT*BR",[1]OUT_FinalEnergyCons!$A$4:$A$10000)))*1,[1]OUT_FinalEnergyCons!D$4:D$10000)</f>
        <v>2.9860759506449799E-2</v>
      </c>
      <c r="G1873" s="1" cm="1">
        <f t="array" ref="G1873">SUMPRODUCT(([1]OUT_FinalEnergyCons!$B$4:$B$10000="Var_cap")*1,  (ISNUMBER(SEARCH("ITOT-SWHPLT*BR",[1]OUT_FinalEnergyCons!$A$4:$A$10000)))*1,[1]OUT_FinalEnergyCons!E$4:E$10000)</f>
        <v>3.802009230810826E-2</v>
      </c>
      <c r="H1873" s="1" cm="1">
        <f t="array" ref="H1873">SUMPRODUCT(([1]OUT_FinalEnergyCons!$B$4:$B$10000="Var_cap")*1,  (ISNUMBER(SEARCH("ITOT-SWHPLT*BR",[1]OUT_FinalEnergyCons!$A$4:$A$10000)))*1,[1]OUT_FinalEnergyCons!F$4:F$10000)</f>
        <v>3.8016201684635501E-2</v>
      </c>
      <c r="I1873" s="1" cm="1">
        <f t="array" ref="I1873">SUMPRODUCT(([1]OUT_FinalEnergyCons!$B$4:$B$10000="Var_cap")*1,  (ISNUMBER(SEARCH("ITOT-SWHPLT*BR",[1]OUT_FinalEnergyCons!$A$4:$A$10000)))*1,[1]OUT_FinalEnergyCons!G$4:G$10000)</f>
        <v>3.8008287836926891E-2</v>
      </c>
      <c r="J1873" s="1" cm="1">
        <f t="array" ref="J1873">SUMPRODUCT(([1]OUT_FinalEnergyCons!$B$4:$B$10000="Var_cap")*1,  (ISNUMBER(SEARCH("ITOT-SWHPLT*BR",[1]OUT_FinalEnergyCons!$A$4:$A$10000)))*1,[1]OUT_FinalEnergyCons!H$4:H$10000)</f>
        <v>4.1156600529967786E-2</v>
      </c>
      <c r="K1873" s="1" cm="1">
        <f t="array" ref="K1873">SUMPRODUCT(([1]OUT_FinalEnergyCons!$B$4:$B$10000="Var_cap")*1,  (ISNUMBER(SEARCH("ITOT-SWHPLT*BR",[1]OUT_FinalEnergyCons!$A$4:$A$10000)))*1,[1]OUT_FinalEnergyCons!I$4:I$10000)</f>
        <v>4.0339778926828537E-2</v>
      </c>
    </row>
    <row r="1874" spans="2:11" x14ac:dyDescent="0.35">
      <c r="B1874" s="5" t="str">
        <f t="shared" si="1165"/>
        <v>SPS4</v>
      </c>
      <c r="C1874" s="5" t="str">
        <f t="shared" si="1212"/>
        <v>CH</v>
      </c>
      <c r="D1874" t="s">
        <v>2110</v>
      </c>
      <c r="E1874" t="str">
        <f t="shared" si="1121"/>
        <v>GWth/yr.</v>
      </c>
      <c r="F1874" s="1">
        <f>F1875</f>
        <v>0.35954682816669398</v>
      </c>
      <c r="G1874" s="1">
        <f t="shared" ref="G1874:K1874" si="1217">G1875</f>
        <v>0.32139762013181333</v>
      </c>
      <c r="H1874" s="1">
        <f t="shared" si="1217"/>
        <v>0.31705050731130324</v>
      </c>
      <c r="I1874" s="1">
        <f t="shared" si="1217"/>
        <v>0.31698614797337427</v>
      </c>
      <c r="J1874" s="1">
        <f t="shared" si="1217"/>
        <v>0.16832240755580602</v>
      </c>
      <c r="K1874" s="1">
        <f t="shared" si="1217"/>
        <v>0.1800021052543003</v>
      </c>
    </row>
    <row r="1875" spans="2:11" x14ac:dyDescent="0.35">
      <c r="B1875" s="5" t="str">
        <f t="shared" si="1165"/>
        <v>SPS4</v>
      </c>
      <c r="C1875" s="5" t="str">
        <f t="shared" si="1212"/>
        <v>CH</v>
      </c>
      <c r="D1875" t="s">
        <v>2111</v>
      </c>
      <c r="E1875" t="str">
        <f t="shared" si="1121"/>
        <v>GWth/yr.</v>
      </c>
      <c r="F1875" s="1" cm="1">
        <f t="array" ref="F1875">SUMPRODUCT(([1]OUT_FinalEnergyCons!$B$4:$B$10000="Var_cap")*1,  (ISNUMBER(SEARCH("ITOT-SWHWST*BR",[1]OUT_FinalEnergyCons!$A$4:$A$10000)))*1,[1]OUT_FinalEnergyCons!D$4:D$10000)</f>
        <v>0.35954682816669398</v>
      </c>
      <c r="G1875" s="1" cm="1">
        <f t="array" ref="G1875">SUMPRODUCT(([1]OUT_FinalEnergyCons!$B$4:$B$10000="Var_cap")*1,  (ISNUMBER(SEARCH("ITOT-SWHWST*BR",[1]OUT_FinalEnergyCons!$A$4:$A$10000)))*1,[1]OUT_FinalEnergyCons!E$4:E$10000)</f>
        <v>0.32139762013181333</v>
      </c>
      <c r="H1875" s="1" cm="1">
        <f t="array" ref="H1875">SUMPRODUCT(([1]OUT_FinalEnergyCons!$B$4:$B$10000="Var_cap")*1,  (ISNUMBER(SEARCH("ITOT-SWHWST*BR",[1]OUT_FinalEnergyCons!$A$4:$A$10000)))*1,[1]OUT_FinalEnergyCons!F$4:F$10000)</f>
        <v>0.31705050731130324</v>
      </c>
      <c r="I1875" s="1" cm="1">
        <f t="array" ref="I1875">SUMPRODUCT(([1]OUT_FinalEnergyCons!$B$4:$B$10000="Var_cap")*1,  (ISNUMBER(SEARCH("ITOT-SWHWST*BR",[1]OUT_FinalEnergyCons!$A$4:$A$10000)))*1,[1]OUT_FinalEnergyCons!G$4:G$10000)</f>
        <v>0.31698614797337427</v>
      </c>
      <c r="J1875" s="1" cm="1">
        <f t="array" ref="J1875">SUMPRODUCT(([1]OUT_FinalEnergyCons!$B$4:$B$10000="Var_cap")*1,  (ISNUMBER(SEARCH("ITOT-SWHWST*BR",[1]OUT_FinalEnergyCons!$A$4:$A$10000)))*1,[1]OUT_FinalEnergyCons!H$4:H$10000)</f>
        <v>0.16832240755580602</v>
      </c>
      <c r="K1875" s="1" cm="1">
        <f t="array" ref="K1875">SUMPRODUCT(([1]OUT_FinalEnergyCons!$B$4:$B$10000="Var_cap")*1,  (ISNUMBER(SEARCH("ITOT-SWHWST*BR",[1]OUT_FinalEnergyCons!$A$4:$A$10000)))*1,[1]OUT_FinalEnergyCons!I$4:I$10000)</f>
        <v>0.1800021052543003</v>
      </c>
    </row>
    <row r="1876" spans="2:11" x14ac:dyDescent="0.35">
      <c r="B1876" s="5" t="str">
        <f t="shared" si="1165"/>
        <v>SPS4</v>
      </c>
      <c r="C1876" s="5" t="str">
        <f t="shared" si="1212"/>
        <v>CH</v>
      </c>
      <c r="D1876" t="s">
        <v>2112</v>
      </c>
      <c r="E1876" t="str">
        <f t="shared" si="1121"/>
        <v>GWth/yr.</v>
      </c>
      <c r="F1876" s="1">
        <f>F1877</f>
        <v>9.8214799778629808E-3</v>
      </c>
      <c r="G1876" s="1">
        <f t="shared" ref="G1876:K1876" si="1218">G1877</f>
        <v>1.2473558156714051E-2</v>
      </c>
      <c r="H1876" s="1">
        <f t="shared" si="1218"/>
        <v>1.2473637924940991E-2</v>
      </c>
      <c r="I1876" s="1">
        <f t="shared" si="1218"/>
        <v>1.247370585420747E-2</v>
      </c>
      <c r="J1876" s="1">
        <f t="shared" si="1218"/>
        <v>1.2467602346957899E-2</v>
      </c>
      <c r="K1876" s="1">
        <f t="shared" si="1218"/>
        <v>1.24649782323155E-2</v>
      </c>
    </row>
    <row r="1877" spans="2:11" x14ac:dyDescent="0.35">
      <c r="B1877" s="5" t="str">
        <f t="shared" si="1165"/>
        <v>SPS4</v>
      </c>
      <c r="C1877" s="5" t="str">
        <f t="shared" si="1212"/>
        <v>CH</v>
      </c>
      <c r="D1877" t="s">
        <v>2113</v>
      </c>
      <c r="E1877" t="str">
        <f t="shared" si="1121"/>
        <v>GWth/yr.</v>
      </c>
      <c r="F1877" s="1" cm="1">
        <f t="array" ref="F1877">SUMPRODUCT(([1]OUT_FinalEnergyCons!$B$4:$B$10000="Var_cap")*1, (ISNUMBER(SEARCH("ITOT-SWHSOLBR",[1]OUT_FinalEnergyCons!$A$4:$A$10000)))*1,[1]OUT_FinalEnergyCons!D$4:D$10000)</f>
        <v>9.8214799778629808E-3</v>
      </c>
      <c r="G1877" s="1" cm="1">
        <f t="array" ref="G1877">SUMPRODUCT(([1]OUT_FinalEnergyCons!$B$4:$B$10000="Var_cap")*1, (ISNUMBER(SEARCH("ITOT-SWHSOLBR",[1]OUT_FinalEnergyCons!$A$4:$A$10000)))*1,[1]OUT_FinalEnergyCons!E$4:E$10000)</f>
        <v>1.2473558156714051E-2</v>
      </c>
      <c r="H1877" s="1" cm="1">
        <f t="array" ref="H1877">SUMPRODUCT(([1]OUT_FinalEnergyCons!$B$4:$B$10000="Var_cap")*1, (ISNUMBER(SEARCH("ITOT-SWHSOLBR",[1]OUT_FinalEnergyCons!$A$4:$A$10000)))*1,[1]OUT_FinalEnergyCons!F$4:F$10000)</f>
        <v>1.2473637924940991E-2</v>
      </c>
      <c r="I1877" s="1" cm="1">
        <f t="array" ref="I1877">SUMPRODUCT(([1]OUT_FinalEnergyCons!$B$4:$B$10000="Var_cap")*1, (ISNUMBER(SEARCH("ITOT-SWHSOLBR",[1]OUT_FinalEnergyCons!$A$4:$A$10000)))*1,[1]OUT_FinalEnergyCons!G$4:G$10000)</f>
        <v>1.247370585420747E-2</v>
      </c>
      <c r="J1877" s="1" cm="1">
        <f t="array" ref="J1877">SUMPRODUCT(([1]OUT_FinalEnergyCons!$B$4:$B$10000="Var_cap")*1, (ISNUMBER(SEARCH("ITOT-SWHSOLBR",[1]OUT_FinalEnergyCons!$A$4:$A$10000)))*1,[1]OUT_FinalEnergyCons!H$4:H$10000)</f>
        <v>1.2467602346957899E-2</v>
      </c>
      <c r="K1877" s="1" cm="1">
        <f t="array" ref="K1877">SUMPRODUCT(([1]OUT_FinalEnergyCons!$B$4:$B$10000="Var_cap")*1, (ISNUMBER(SEARCH("ITOT-SWHSOLBR",[1]OUT_FinalEnergyCons!$A$4:$A$10000)))*1,[1]OUT_FinalEnergyCons!I$4:I$10000)</f>
        <v>1.24649782323155E-2</v>
      </c>
    </row>
    <row r="1878" spans="2:11" x14ac:dyDescent="0.35">
      <c r="B1878" s="5" t="str">
        <f t="shared" si="1165"/>
        <v>SPS4</v>
      </c>
      <c r="C1878" s="5" t="str">
        <f t="shared" si="1212"/>
        <v>CH</v>
      </c>
      <c r="D1878" t="s">
        <v>2114</v>
      </c>
      <c r="E1878" t="str">
        <f t="shared" si="1121"/>
        <v>GWth/yr.</v>
      </c>
      <c r="F1878" s="1">
        <f>F1879</f>
        <v>0</v>
      </c>
      <c r="G1878" s="1">
        <f t="shared" ref="G1878:K1878" si="1219">G1879</f>
        <v>0</v>
      </c>
      <c r="H1878" s="1">
        <f t="shared" si="1219"/>
        <v>0</v>
      </c>
      <c r="I1878" s="1">
        <f t="shared" si="1219"/>
        <v>1.4728378373784401E-3</v>
      </c>
      <c r="J1878" s="1">
        <f t="shared" si="1219"/>
        <v>1.3179678112547274E-2</v>
      </c>
      <c r="K1878" s="1">
        <f t="shared" si="1219"/>
        <v>1.2855015677835389E-2</v>
      </c>
    </row>
    <row r="1879" spans="2:11" x14ac:dyDescent="0.35">
      <c r="B1879" s="5" t="str">
        <f t="shared" si="1165"/>
        <v>SPS4</v>
      </c>
      <c r="C1879" s="5" t="str">
        <f t="shared" si="1212"/>
        <v>CH</v>
      </c>
      <c r="D1879" t="s">
        <v>2115</v>
      </c>
      <c r="E1879" t="str">
        <f t="shared" si="1121"/>
        <v>GWth/yr.</v>
      </c>
      <c r="F1879" s="1" cm="1">
        <f t="array" ref="F1879">SUMPRODUCT(([1]OUT_FinalEnergyCons!$B$4:$B$10000="Var_cap")*1, (ISNUMBER(SEARCH("ITOT-SWHH2BR",[1]OUT_FinalEnergyCons!$A$4:$A$10000)))*1,[1]OUT_FinalEnergyCons!D$4:D$10000)</f>
        <v>0</v>
      </c>
      <c r="G1879" s="1" cm="1">
        <f t="array" ref="G1879">SUMPRODUCT(([1]OUT_FinalEnergyCons!$B$4:$B$10000="Var_cap")*1, (ISNUMBER(SEARCH("ITOT-SWHH2BR",[1]OUT_FinalEnergyCons!$A$4:$A$10000)))*1,[1]OUT_FinalEnergyCons!E$4:E$10000)</f>
        <v>0</v>
      </c>
      <c r="H1879" s="1" cm="1">
        <f t="array" ref="H1879">SUMPRODUCT(([1]OUT_FinalEnergyCons!$B$4:$B$10000="Var_cap")*1, (ISNUMBER(SEARCH("ITOT-SWHH2BR",[1]OUT_FinalEnergyCons!$A$4:$A$10000)))*1,[1]OUT_FinalEnergyCons!F$4:F$10000)</f>
        <v>0</v>
      </c>
      <c r="I1879" s="1" cm="1">
        <f t="array" ref="I1879">SUMPRODUCT(([1]OUT_FinalEnergyCons!$B$4:$B$10000="Var_cap")*1, (ISNUMBER(SEARCH("ITOT-SWHH2BR",[1]OUT_FinalEnergyCons!$A$4:$A$10000)))*1,[1]OUT_FinalEnergyCons!G$4:G$10000)</f>
        <v>1.4728378373784401E-3</v>
      </c>
      <c r="J1879" s="1" cm="1">
        <f t="array" ref="J1879">SUMPRODUCT(([1]OUT_FinalEnergyCons!$B$4:$B$10000="Var_cap")*1, (ISNUMBER(SEARCH("ITOT-SWHH2BR",[1]OUT_FinalEnergyCons!$A$4:$A$10000)))*1,[1]OUT_FinalEnergyCons!H$4:H$10000)</f>
        <v>1.3179678112547274E-2</v>
      </c>
      <c r="K1879" s="1" cm="1">
        <f t="array" ref="K1879">SUMPRODUCT(([1]OUT_FinalEnergyCons!$B$4:$B$10000="Var_cap")*1, (ISNUMBER(SEARCH("ITOT-SWHH2BR",[1]OUT_FinalEnergyCons!$A$4:$A$10000)))*1,[1]OUT_FinalEnergyCons!I$4:I$10000)</f>
        <v>1.2855015677835389E-2</v>
      </c>
    </row>
    <row r="1880" spans="2:11" x14ac:dyDescent="0.35">
      <c r="B1880" s="9" t="str">
        <f t="shared" si="1165"/>
        <v>SPS4</v>
      </c>
      <c r="C1880" s="9" t="str">
        <f>C1808</f>
        <v>CH</v>
      </c>
      <c r="D1880" s="2" t="s">
        <v>1901</v>
      </c>
      <c r="E1880" s="9" t="str">
        <f t="shared" si="1121"/>
        <v>GWth/yr.</v>
      </c>
      <c r="F1880" s="17">
        <f>SUM(F1881,F1884,F1886,F1890,F1892,F1894,F1896)</f>
        <v>6.1442176739164696</v>
      </c>
      <c r="G1880" s="17">
        <f t="shared" ref="G1880:K1880" si="1220">SUM(G1881,G1884,G1886,G1890,G1892,G1894,G1896)</f>
        <v>6.0470704182714448</v>
      </c>
      <c r="H1880" s="17">
        <f t="shared" si="1220"/>
        <v>6.0802168463222515</v>
      </c>
      <c r="I1880" s="17">
        <f t="shared" si="1220"/>
        <v>6.3284248778300514</v>
      </c>
      <c r="J1880" s="17">
        <f t="shared" si="1220"/>
        <v>4.7286392870374545</v>
      </c>
      <c r="K1880" s="17">
        <f t="shared" si="1220"/>
        <v>4.4999834772590352</v>
      </c>
    </row>
    <row r="1881" spans="2:11" x14ac:dyDescent="0.35">
      <c r="B1881" s="5" t="str">
        <f t="shared" si="1165"/>
        <v>SPS4</v>
      </c>
      <c r="C1881" s="5" t="str">
        <f>C1880</f>
        <v>CH</v>
      </c>
      <c r="D1881" t="s">
        <v>1902</v>
      </c>
      <c r="E1881" t="str">
        <f t="shared" si="1121"/>
        <v>GWth/yr.</v>
      </c>
      <c r="F1881" s="1">
        <f>SUM(F1882:F1883)</f>
        <v>0.61560696565169026</v>
      </c>
      <c r="G1881" s="1">
        <f t="shared" ref="G1881:K1881" si="1221">SUM(G1882:G1883)</f>
        <v>0.50286194767808978</v>
      </c>
      <c r="H1881" s="1">
        <f t="shared" si="1221"/>
        <v>0.49995501734131553</v>
      </c>
      <c r="I1881" s="1">
        <f t="shared" si="1221"/>
        <v>0.61547915642337436</v>
      </c>
      <c r="J1881" s="1">
        <f t="shared" si="1221"/>
        <v>0.90947053036582526</v>
      </c>
      <c r="K1881" s="1">
        <f t="shared" si="1221"/>
        <v>1.1997066516822608</v>
      </c>
    </row>
    <row r="1882" spans="2:11" x14ac:dyDescent="0.35">
      <c r="B1882" s="5" t="str">
        <f t="shared" si="1165"/>
        <v>SPS4</v>
      </c>
      <c r="C1882" s="5" t="str">
        <f>C1881</f>
        <v>CH</v>
      </c>
      <c r="D1882" t="s">
        <v>1903</v>
      </c>
      <c r="E1882" t="str">
        <f t="shared" si="1121"/>
        <v>GWth/yr.</v>
      </c>
      <c r="F1882" s="1" cm="1">
        <f t="array" ref="F1882">SUMPRODUCT(([1]OUT_FinalEnergyCons!$B$4:$B$10000="Var_cap")*1, (ISNUMBER(SEARCH("SCOM-SHELCBR",[1]OUT_FinalEnergyCons!$A$4:$A$10000)))*1,[1]OUT_FinalEnergyCons!D$4:D$10000)</f>
        <v>0.18498954560516095</v>
      </c>
      <c r="G1882" s="1" cm="1">
        <f t="array" ref="G1882">SUMPRODUCT(([1]OUT_FinalEnergyCons!$B$4:$B$10000="Var_cap")*1, (ISNUMBER(SEARCH("SCOM-SHELCBR",[1]OUT_FinalEnergyCons!$A$4:$A$10000)))*1,[1]OUT_FinalEnergyCons!E$4:E$10000)</f>
        <v>7.2246197399741988E-2</v>
      </c>
      <c r="H1882" s="1" cm="1">
        <f t="array" ref="H1882">SUMPRODUCT(([1]OUT_FinalEnergyCons!$B$4:$B$10000="Var_cap")*1, (ISNUMBER(SEARCH("SCOM-SHELCBR",[1]OUT_FinalEnergyCons!$A$4:$A$10000)))*1,[1]OUT_FinalEnergyCons!F$4:F$10000)</f>
        <v>6.9339744000484149E-2</v>
      </c>
      <c r="I1882" s="1" cm="1">
        <f t="array" ref="I1882">SUMPRODUCT(([1]OUT_FinalEnergyCons!$B$4:$B$10000="Var_cap")*1, (ISNUMBER(SEARCH("SCOM-SHELCBR",[1]OUT_FinalEnergyCons!$A$4:$A$10000)))*1,[1]OUT_FinalEnergyCons!G$4:G$10000)</f>
        <v>4.6403171473432536E-2</v>
      </c>
      <c r="J1882" s="1" cm="1">
        <f t="array" ref="J1882">SUMPRODUCT(([1]OUT_FinalEnergyCons!$B$4:$B$10000="Var_cap")*1, (ISNUMBER(SEARCH("SCOM-SHELCBR",[1]OUT_FinalEnergyCons!$A$4:$A$10000)))*1,[1]OUT_FinalEnergyCons!H$4:H$10000)</f>
        <v>3.4670017594961702E-2</v>
      </c>
      <c r="K1882" s="1" cm="1">
        <f t="array" ref="K1882">SUMPRODUCT(([1]OUT_FinalEnergyCons!$B$4:$B$10000="Var_cap")*1, (ISNUMBER(SEARCH("SCOM-SHELCBR",[1]OUT_FinalEnergyCons!$A$4:$A$10000)))*1,[1]OUT_FinalEnergyCons!I$4:I$10000)</f>
        <v>2.0818436793850183E-2</v>
      </c>
    </row>
    <row r="1883" spans="2:11" x14ac:dyDescent="0.35">
      <c r="B1883" s="5" t="str">
        <f t="shared" si="1165"/>
        <v>SPS4</v>
      </c>
      <c r="C1883" s="5" t="str">
        <f t="shared" ref="C1883" si="1222">C1882</f>
        <v>CH</v>
      </c>
      <c r="D1883" t="s">
        <v>1904</v>
      </c>
      <c r="E1883" t="str">
        <f t="shared" si="1121"/>
        <v>GWth/yr.</v>
      </c>
      <c r="F1883" s="1" cm="1">
        <f t="array" ref="F1883">SUMPRODUCT(([1]OUT_FinalEnergyCons!$B$4:$B$10000="Var_cap")*1, (ISNUMBER(SEARCH("SCOM-SHELCHP",[1]OUT_FinalEnergyCons!$A$4:$A$10000)))*1,[1]OUT_FinalEnergyCons!D$4:D$10000)</f>
        <v>0.43061742004652936</v>
      </c>
      <c r="G1883" s="1" cm="1">
        <f t="array" ref="G1883">SUMPRODUCT(([1]OUT_FinalEnergyCons!$B$4:$B$10000="Var_cap")*1, (ISNUMBER(SEARCH("SCOM-SHELCHP",[1]OUT_FinalEnergyCons!$A$4:$A$10000)))*1,[1]OUT_FinalEnergyCons!E$4:E$10000)</f>
        <v>0.43061575027834775</v>
      </c>
      <c r="H1883" s="1" cm="1">
        <f t="array" ref="H1883">SUMPRODUCT(([1]OUT_FinalEnergyCons!$B$4:$B$10000="Var_cap")*1, (ISNUMBER(SEARCH("SCOM-SHELCHP",[1]OUT_FinalEnergyCons!$A$4:$A$10000)))*1,[1]OUT_FinalEnergyCons!F$4:F$10000)</f>
        <v>0.43061527334083138</v>
      </c>
      <c r="I1883" s="1" cm="1">
        <f t="array" ref="I1883">SUMPRODUCT(([1]OUT_FinalEnergyCons!$B$4:$B$10000="Var_cap")*1, (ISNUMBER(SEARCH("SCOM-SHELCHP",[1]OUT_FinalEnergyCons!$A$4:$A$10000)))*1,[1]OUT_FinalEnergyCons!G$4:G$10000)</f>
        <v>0.56907598494994183</v>
      </c>
      <c r="J1883" s="1" cm="1">
        <f t="array" ref="J1883">SUMPRODUCT(([1]OUT_FinalEnergyCons!$B$4:$B$10000="Var_cap")*1, (ISNUMBER(SEARCH("SCOM-SHELCHP",[1]OUT_FinalEnergyCons!$A$4:$A$10000)))*1,[1]OUT_FinalEnergyCons!H$4:H$10000)</f>
        <v>0.87480051277086357</v>
      </c>
      <c r="K1883" s="1" cm="1">
        <f t="array" ref="K1883">SUMPRODUCT(([1]OUT_FinalEnergyCons!$B$4:$B$10000="Var_cap")*1, (ISNUMBER(SEARCH("SCOM-SHELCHP",[1]OUT_FinalEnergyCons!$A$4:$A$10000)))*1,[1]OUT_FinalEnergyCons!I$4:I$10000)</f>
        <v>1.1788882148884106</v>
      </c>
    </row>
    <row r="1884" spans="2:11" x14ac:dyDescent="0.35">
      <c r="B1884" s="5" t="str">
        <f t="shared" si="1165"/>
        <v>SPS4</v>
      </c>
      <c r="C1884" s="5" t="str">
        <f t="shared" ref="C1884" si="1223">C1883</f>
        <v>CH</v>
      </c>
      <c r="D1884" t="s">
        <v>1905</v>
      </c>
      <c r="E1884" t="str">
        <f t="shared" si="1121"/>
        <v>GWth/yr.</v>
      </c>
      <c r="F1884" s="1">
        <f>F1885</f>
        <v>1.9285744074847113</v>
      </c>
      <c r="G1884" s="1">
        <f t="shared" ref="G1884:K1884" si="1224">G1885</f>
        <v>1.8655646078225776</v>
      </c>
      <c r="H1884" s="1">
        <f t="shared" si="1224"/>
        <v>1.8655534962735218</v>
      </c>
      <c r="I1884" s="1">
        <f t="shared" si="1224"/>
        <v>1.86554623637913</v>
      </c>
      <c r="J1884" s="1">
        <f t="shared" si="1224"/>
        <v>0.76281119715479095</v>
      </c>
      <c r="K1884" s="1">
        <f t="shared" si="1224"/>
        <v>0.4137257209713498</v>
      </c>
    </row>
    <row r="1885" spans="2:11" x14ac:dyDescent="0.35">
      <c r="B1885" s="5" t="str">
        <f t="shared" si="1165"/>
        <v>SPS4</v>
      </c>
      <c r="C1885" s="5" t="str">
        <f t="shared" ref="C1885" si="1225">C1884</f>
        <v>CH</v>
      </c>
      <c r="D1885" t="s">
        <v>1906</v>
      </c>
      <c r="E1885" t="str">
        <f t="shared" ref="E1885:E1897" si="1226">E1884</f>
        <v>GWth/yr.</v>
      </c>
      <c r="F1885" s="1" cm="1">
        <f t="array" ref="F1885">SUMPRODUCT(([1]OUT_FinalEnergyCons!$B$4:$B$10000="Var_cap")*1,(ISNUMBER(SEARCH("SCOM-SHLFOBR",[1]OUT_FinalEnergyCons!$A$4:$A$10000)))*1,[1]OUT_FinalEnergyCons!D$4:D$10000)</f>
        <v>1.9285744074847113</v>
      </c>
      <c r="G1885" s="1" cm="1">
        <f t="array" ref="G1885">SUMPRODUCT(([1]OUT_FinalEnergyCons!$B$4:$B$10000="Var_cap")*1,(ISNUMBER(SEARCH("SCOM-SHLFOBR",[1]OUT_FinalEnergyCons!$A$4:$A$10000)))*1,[1]OUT_FinalEnergyCons!E$4:E$10000)</f>
        <v>1.8655646078225776</v>
      </c>
      <c r="H1885" s="1" cm="1">
        <f t="array" ref="H1885">SUMPRODUCT(([1]OUT_FinalEnergyCons!$B$4:$B$10000="Var_cap")*1,(ISNUMBER(SEARCH("SCOM-SHLFOBR",[1]OUT_FinalEnergyCons!$A$4:$A$10000)))*1,[1]OUT_FinalEnergyCons!F$4:F$10000)</f>
        <v>1.8655534962735218</v>
      </c>
      <c r="I1885" s="1" cm="1">
        <f t="array" ref="I1885">SUMPRODUCT(([1]OUT_FinalEnergyCons!$B$4:$B$10000="Var_cap")*1,(ISNUMBER(SEARCH("SCOM-SHLFOBR",[1]OUT_FinalEnergyCons!$A$4:$A$10000)))*1,[1]OUT_FinalEnergyCons!G$4:G$10000)</f>
        <v>1.86554623637913</v>
      </c>
      <c r="J1885" s="1" cm="1">
        <f t="array" ref="J1885">SUMPRODUCT(([1]OUT_FinalEnergyCons!$B$4:$B$10000="Var_cap")*1,(ISNUMBER(SEARCH("SCOM-SHLFOBR",[1]OUT_FinalEnergyCons!$A$4:$A$10000)))*1,[1]OUT_FinalEnergyCons!H$4:H$10000)</f>
        <v>0.76281119715479095</v>
      </c>
      <c r="K1885" s="1" cm="1">
        <f t="array" ref="K1885">SUMPRODUCT(([1]OUT_FinalEnergyCons!$B$4:$B$10000="Var_cap")*1,(ISNUMBER(SEARCH("SCOM-SHLFOBR",[1]OUT_FinalEnergyCons!$A$4:$A$10000)))*1,[1]OUT_FinalEnergyCons!I$4:I$10000)</f>
        <v>0.4137257209713498</v>
      </c>
    </row>
    <row r="1886" spans="2:11" x14ac:dyDescent="0.35">
      <c r="B1886" s="5" t="str">
        <f t="shared" si="1165"/>
        <v>SPS4</v>
      </c>
      <c r="C1886" s="5" t="str">
        <f t="shared" ref="C1886" si="1227">C1885</f>
        <v>CH</v>
      </c>
      <c r="D1886" t="s">
        <v>1907</v>
      </c>
      <c r="E1886" t="str">
        <f t="shared" si="1226"/>
        <v>GWth/yr.</v>
      </c>
      <c r="F1886" s="1">
        <f>SUM(F1887:F1889)</f>
        <v>2.8800234435393985</v>
      </c>
      <c r="G1886" s="1">
        <f t="shared" ref="G1886:K1886" si="1228">SUM(G1887:G1889)</f>
        <v>2.8799899651688263</v>
      </c>
      <c r="H1886" s="1">
        <f t="shared" si="1228"/>
        <v>3.0158742049726008</v>
      </c>
      <c r="I1886" s="1">
        <f t="shared" si="1228"/>
        <v>3.148568229257374</v>
      </c>
      <c r="J1886" s="1">
        <f t="shared" si="1228"/>
        <v>1.6242508053405891</v>
      </c>
      <c r="K1886" s="1">
        <f t="shared" si="1228"/>
        <v>1.4915632781992505</v>
      </c>
    </row>
    <row r="1887" spans="2:11" x14ac:dyDescent="0.35">
      <c r="B1887" s="5" t="str">
        <f t="shared" si="1165"/>
        <v>SPS4</v>
      </c>
      <c r="C1887" s="5" t="str">
        <f t="shared" ref="C1887" si="1229">C1886</f>
        <v>CH</v>
      </c>
      <c r="D1887" t="s">
        <v>1908</v>
      </c>
      <c r="E1887" t="str">
        <f t="shared" si="1226"/>
        <v>GWth/yr.</v>
      </c>
      <c r="F1887" s="1" cm="1">
        <f t="array" ref="F1887">SUMPRODUCT(([1]OUT_FinalEnergyCons!$B$4:$B$10000="Var_cap")*1, (ISNUMBER(SEARCH("SCOM-SHNGABR",[1]OUT_FinalEnergyCons!$A$4:$A$10000)))*1,[1]OUT_FinalEnergyCons!D$4:D$10000)</f>
        <v>2.7746816602428379</v>
      </c>
      <c r="G1887" s="1" cm="1">
        <f t="array" ref="G1887">SUMPRODUCT(([1]OUT_FinalEnergyCons!$B$4:$B$10000="Var_cap")*1, (ISNUMBER(SEARCH("SCOM-SHNGABR",[1]OUT_FinalEnergyCons!$A$4:$A$10000)))*1,[1]OUT_FinalEnergyCons!E$4:E$10000)</f>
        <v>2.7746231515035729</v>
      </c>
      <c r="H1887" s="1" cm="1">
        <f t="array" ref="H1887">SUMPRODUCT(([1]OUT_FinalEnergyCons!$B$4:$B$10000="Var_cap")*1, (ISNUMBER(SEARCH("SCOM-SHNGABR",[1]OUT_FinalEnergyCons!$A$4:$A$10000)))*1,[1]OUT_FinalEnergyCons!F$4:F$10000)</f>
        <v>2.7745750507560532</v>
      </c>
      <c r="I1887" s="1" cm="1">
        <f t="array" ref="I1887">SUMPRODUCT(([1]OUT_FinalEnergyCons!$B$4:$B$10000="Var_cap")*1, (ISNUMBER(SEARCH("SCOM-SHNGABR",[1]OUT_FinalEnergyCons!$A$4:$A$10000)))*1,[1]OUT_FinalEnergyCons!G$4:G$10000)</f>
        <v>2.7745613696321438</v>
      </c>
      <c r="J1887" s="1" cm="1">
        <f t="array" ref="J1887">SUMPRODUCT(([1]OUT_FinalEnergyCons!$B$4:$B$10000="Var_cap")*1, (ISNUMBER(SEARCH("SCOM-SHNGABR",[1]OUT_FinalEnergyCons!$A$4:$A$10000)))*1,[1]OUT_FinalEnergyCons!H$4:H$10000)</f>
        <v>1.1590078236111967</v>
      </c>
      <c r="K1887" s="1" cm="1">
        <f t="array" ref="K1887">SUMPRODUCT(([1]OUT_FinalEnergyCons!$B$4:$B$10000="Var_cap")*1, (ISNUMBER(SEARCH("SCOM-SHNGABR",[1]OUT_FinalEnergyCons!$A$4:$A$10000)))*1,[1]OUT_FinalEnergyCons!I$4:I$10000)</f>
        <v>0.81952165820507117</v>
      </c>
    </row>
    <row r="1888" spans="2:11" x14ac:dyDescent="0.35">
      <c r="B1888" s="5" t="str">
        <f t="shared" si="1165"/>
        <v>SPS4</v>
      </c>
      <c r="C1888" s="5" t="str">
        <f t="shared" ref="C1888" si="1230">C1887</f>
        <v>CH</v>
      </c>
      <c r="D1888" t="s">
        <v>1909</v>
      </c>
      <c r="E1888" t="str">
        <f t="shared" si="1226"/>
        <v>GWth/yr.</v>
      </c>
      <c r="F1888" s="1" cm="1">
        <f t="array" ref="F1888">SUMPRODUCT(([1]OUT_FinalEnergyCons!$B$4:$B$10000="Var_cap")*1, (ISNUMBER(SEARCH("SCOM-SHngahp",[1]OUT_FinalEnergyCons!$A$4:$A$10000)))*1,[1]OUT_FinalEnergyCons!D$4:D$10000)</f>
        <v>3.7553150614274298E-7</v>
      </c>
      <c r="G1888" s="1" cm="1">
        <f t="array" ref="G1888">SUMPRODUCT(([1]OUT_FinalEnergyCons!$B$4:$B$10000="Var_cap")*1, (ISNUMBER(SEARCH("SCOM-SHngahp",[1]OUT_FinalEnergyCons!$A$4:$A$10000)))*1,[1]OUT_FinalEnergyCons!E$4:E$10000)</f>
        <v>2.6352658138948973E-5</v>
      </c>
      <c r="H1888" s="1" cm="1">
        <f t="array" ref="H1888">SUMPRODUCT(([1]OUT_FinalEnergyCons!$B$4:$B$10000="Var_cap")*1, (ISNUMBER(SEARCH("SCOM-SHngahp",[1]OUT_FinalEnergyCons!$A$4:$A$10000)))*1,[1]OUT_FinalEnergyCons!F$4:F$10000)</f>
        <v>0.13599315651030089</v>
      </c>
      <c r="I1888" s="1" cm="1">
        <f t="array" ref="I1888">SUMPRODUCT(([1]OUT_FinalEnergyCons!$B$4:$B$10000="Var_cap")*1, (ISNUMBER(SEARCH("SCOM-SHngahp",[1]OUT_FinalEnergyCons!$A$4:$A$10000)))*1,[1]OUT_FinalEnergyCons!G$4:G$10000)</f>
        <v>0.26870892807047075</v>
      </c>
      <c r="J1888" s="1" cm="1">
        <f t="array" ref="J1888">SUMPRODUCT(([1]OUT_FinalEnergyCons!$B$4:$B$10000="Var_cap")*1, (ISNUMBER(SEARCH("SCOM-SHngahp",[1]OUT_FinalEnergyCons!$A$4:$A$10000)))*1,[1]OUT_FinalEnergyCons!H$4:H$10000)</f>
        <v>0.46516482929541253</v>
      </c>
      <c r="K1888" s="1" cm="1">
        <f t="array" ref="K1888">SUMPRODUCT(([1]OUT_FinalEnergyCons!$B$4:$B$10000="Var_cap")*1, (ISNUMBER(SEARCH("SCOM-SHngahp",[1]OUT_FinalEnergyCons!$A$4:$A$10000)))*1,[1]OUT_FinalEnergyCons!I$4:I$10000)</f>
        <v>0.67197781657421429</v>
      </c>
    </row>
    <row r="1889" spans="2:11" x14ac:dyDescent="0.35">
      <c r="B1889" s="5" t="str">
        <f t="shared" si="1165"/>
        <v>SPS4</v>
      </c>
      <c r="C1889" s="5" t="str">
        <f t="shared" ref="C1889" si="1231">C1888</f>
        <v>CH</v>
      </c>
      <c r="D1889" t="s">
        <v>1910</v>
      </c>
      <c r="E1889" t="str">
        <f t="shared" si="1226"/>
        <v>GWth/yr.</v>
      </c>
      <c r="F1889" s="1" cm="1">
        <f t="array" ref="F1889">SUMPRODUCT(([1]OUT_FinalEnergyCons!$B$4:$B$10000="Var_cap")*1, (("SCOM-SHBIOBR"=[1]OUT_FinalEnergyCons!$A$4:$A$10000)*1+("SCOM-SHBNGABR"=[1]OUT_FinalEnergyCons!$A$4:$A$10000)*1),[1]OUT_FinalEnergyCons!D$4:D$10000)</f>
        <v>0.10534140776505424</v>
      </c>
      <c r="G1889" s="1" cm="1">
        <f t="array" ref="G1889">SUMPRODUCT(([1]OUT_FinalEnergyCons!$B$4:$B$10000="Var_cap")*1, (("SCOM-SHBIOBR"=[1]OUT_FinalEnergyCons!$A$4:$A$10000)*1+("SCOM-SHBNGABR"=[1]OUT_FinalEnergyCons!$A$4:$A$10000)*1),[1]OUT_FinalEnergyCons!E$4:E$10000)</f>
        <v>0.10534046100711453</v>
      </c>
      <c r="H1889" s="1" cm="1">
        <f t="array" ref="H1889">SUMPRODUCT(([1]OUT_FinalEnergyCons!$B$4:$B$10000="Var_cap")*1, (("SCOM-SHBIOBR"=[1]OUT_FinalEnergyCons!$A$4:$A$10000)*1+("SCOM-SHBNGABR"=[1]OUT_FinalEnergyCons!$A$4:$A$10000)*1),[1]OUT_FinalEnergyCons!F$4:F$10000)</f>
        <v>0.10530599770624713</v>
      </c>
      <c r="I1889" s="1" cm="1">
        <f t="array" ref="I1889">SUMPRODUCT(([1]OUT_FinalEnergyCons!$B$4:$B$10000="Var_cap")*1, (("SCOM-SHBIOBR"=[1]OUT_FinalEnergyCons!$A$4:$A$10000)*1+("SCOM-SHBNGABR"=[1]OUT_FinalEnergyCons!$A$4:$A$10000)*1),[1]OUT_FinalEnergyCons!G$4:G$10000)</f>
        <v>0.10529793155475933</v>
      </c>
      <c r="J1889" s="1" cm="1">
        <f t="array" ref="J1889">SUMPRODUCT(([1]OUT_FinalEnergyCons!$B$4:$B$10000="Var_cap")*1, (("SCOM-SHBIOBR"=[1]OUT_FinalEnergyCons!$A$4:$A$10000)*1+("SCOM-SHBNGABR"=[1]OUT_FinalEnergyCons!$A$4:$A$10000)*1),[1]OUT_FinalEnergyCons!H$4:H$10000)</f>
        <v>7.8152433979803367E-5</v>
      </c>
      <c r="K1889" s="1" cm="1">
        <f t="array" ref="K1889">SUMPRODUCT(([1]OUT_FinalEnergyCons!$B$4:$B$10000="Var_cap")*1, (("SCOM-SHBIOBR"=[1]OUT_FinalEnergyCons!$A$4:$A$10000)*1+("SCOM-SHBNGABR"=[1]OUT_FinalEnergyCons!$A$4:$A$10000)*1),[1]OUT_FinalEnergyCons!I$4:I$10000)</f>
        <v>6.3803419965048156E-5</v>
      </c>
    </row>
    <row r="1890" spans="2:11" x14ac:dyDescent="0.35">
      <c r="B1890" s="5" t="str">
        <f t="shared" si="1165"/>
        <v>SPS4</v>
      </c>
      <c r="C1890" s="5" t="str">
        <f t="shared" ref="C1890" si="1232">C1889</f>
        <v>CH</v>
      </c>
      <c r="D1890" t="s">
        <v>1911</v>
      </c>
      <c r="E1890" t="str">
        <f t="shared" si="1226"/>
        <v>GWth/yr.</v>
      </c>
      <c r="F1890" s="1">
        <f>F1891</f>
        <v>0.47842860769176865</v>
      </c>
      <c r="G1890" s="1">
        <f t="shared" ref="G1890:K1890" si="1233">G1891</f>
        <v>0.52394883372697354</v>
      </c>
      <c r="H1890" s="1">
        <f t="shared" si="1233"/>
        <v>0.52392836837139245</v>
      </c>
      <c r="I1890" s="1">
        <f t="shared" si="1233"/>
        <v>0.52392575569441358</v>
      </c>
      <c r="J1890" s="1">
        <f t="shared" si="1233"/>
        <v>0.44446954682130113</v>
      </c>
      <c r="K1890" s="1">
        <f t="shared" si="1233"/>
        <v>0.39735440094362723</v>
      </c>
    </row>
    <row r="1891" spans="2:11" x14ac:dyDescent="0.35">
      <c r="B1891" s="5" t="str">
        <f t="shared" si="1165"/>
        <v>SPS4</v>
      </c>
      <c r="C1891" s="5" t="str">
        <f t="shared" ref="C1891" si="1234">C1890</f>
        <v>CH</v>
      </c>
      <c r="D1891" t="s">
        <v>1912</v>
      </c>
      <c r="E1891" t="str">
        <f t="shared" si="1226"/>
        <v>GWth/yr.</v>
      </c>
      <c r="F1891" s="1" cm="1">
        <f t="array" ref="F1891">SUMPRODUCT(([1]OUT_FinalEnergyCons!$B$4:$B$10000="Var_cap")*1, (ISNUMBER(SEARCH("SCOM-SHWODBR",[1]OUT_FinalEnergyCons!$A$4:$A$10000)))*1,[1]OUT_FinalEnergyCons!D$4:D$10000)</f>
        <v>0.47842860769176865</v>
      </c>
      <c r="G1891" s="1" cm="1">
        <f t="array" ref="G1891">SUMPRODUCT(([1]OUT_FinalEnergyCons!$B$4:$B$10000="Var_cap")*1, (ISNUMBER(SEARCH("SCOM-SHWODBR",[1]OUT_FinalEnergyCons!$A$4:$A$10000)))*1,[1]OUT_FinalEnergyCons!E$4:E$10000)</f>
        <v>0.52394883372697354</v>
      </c>
      <c r="H1891" s="1" cm="1">
        <f t="array" ref="H1891">SUMPRODUCT(([1]OUT_FinalEnergyCons!$B$4:$B$10000="Var_cap")*1, (ISNUMBER(SEARCH("SCOM-SHWODBR",[1]OUT_FinalEnergyCons!$A$4:$A$10000)))*1,[1]OUT_FinalEnergyCons!F$4:F$10000)</f>
        <v>0.52392836837139245</v>
      </c>
      <c r="I1891" s="1" cm="1">
        <f t="array" ref="I1891">SUMPRODUCT(([1]OUT_FinalEnergyCons!$B$4:$B$10000="Var_cap")*1, (ISNUMBER(SEARCH("SCOM-SHWODBR",[1]OUT_FinalEnergyCons!$A$4:$A$10000)))*1,[1]OUT_FinalEnergyCons!G$4:G$10000)</f>
        <v>0.52392575569441358</v>
      </c>
      <c r="J1891" s="1" cm="1">
        <f t="array" ref="J1891">SUMPRODUCT(([1]OUT_FinalEnergyCons!$B$4:$B$10000="Var_cap")*1, (ISNUMBER(SEARCH("SCOM-SHWODBR",[1]OUT_FinalEnergyCons!$A$4:$A$10000)))*1,[1]OUT_FinalEnergyCons!H$4:H$10000)</f>
        <v>0.44446954682130113</v>
      </c>
      <c r="K1891" s="1" cm="1">
        <f t="array" ref="K1891">SUMPRODUCT(([1]OUT_FinalEnergyCons!$B$4:$B$10000="Var_cap")*1, (ISNUMBER(SEARCH("SCOM-SHWODBR",[1]OUT_FinalEnergyCons!$A$4:$A$10000)))*1,[1]OUT_FinalEnergyCons!I$4:I$10000)</f>
        <v>0.39735440094362723</v>
      </c>
    </row>
    <row r="1892" spans="2:11" x14ac:dyDescent="0.35">
      <c r="B1892" s="5" t="str">
        <f t="shared" si="1165"/>
        <v>SPS4</v>
      </c>
      <c r="C1892" s="5" t="str">
        <f t="shared" ref="C1892" si="1235">C1891</f>
        <v>CH</v>
      </c>
      <c r="D1892" t="s">
        <v>1913</v>
      </c>
      <c r="E1892" t="str">
        <f t="shared" si="1226"/>
        <v>GWth/yr.</v>
      </c>
      <c r="F1892" s="1">
        <f>F1893</f>
        <v>0.15051180723086835</v>
      </c>
      <c r="G1892" s="1">
        <f t="shared" ref="G1892:K1892" si="1236">G1893</f>
        <v>0.17487253643977568</v>
      </c>
      <c r="H1892" s="1">
        <f t="shared" si="1236"/>
        <v>7.5074739872281415E-2</v>
      </c>
      <c r="I1892" s="1">
        <f t="shared" si="1236"/>
        <v>7.5073726039980013E-2</v>
      </c>
      <c r="J1892" s="1">
        <f t="shared" si="1236"/>
        <v>8.9799580377844287E-2</v>
      </c>
      <c r="K1892" s="1">
        <f t="shared" si="1236"/>
        <v>0.11014471170417427</v>
      </c>
    </row>
    <row r="1893" spans="2:11" x14ac:dyDescent="0.35">
      <c r="B1893" s="5" t="str">
        <f t="shared" si="1165"/>
        <v>SPS4</v>
      </c>
      <c r="C1893" s="5" t="str">
        <f t="shared" ref="C1893" si="1237">C1892</f>
        <v>CH</v>
      </c>
      <c r="D1893" t="s">
        <v>1914</v>
      </c>
      <c r="E1893" t="str">
        <f t="shared" si="1226"/>
        <v>GWth/yr.</v>
      </c>
      <c r="F1893" s="1" cm="1">
        <f t="array" ref="F1893">SUMPRODUCT(([1]OUT_FinalEnergyCons!$B$4:$B$10000="Var_cap")*1,(ISNUMBER(SEARCH("SCOM-SHPLTBR",[1]OUT_FinalEnergyCons!$A$4:$A$10000)))*1,[1]OUT_FinalEnergyCons!D$4:D$10000)</f>
        <v>0.15051180723086835</v>
      </c>
      <c r="G1893" s="1" cm="1">
        <f t="array" ref="G1893">SUMPRODUCT(([1]OUT_FinalEnergyCons!$B$4:$B$10000="Var_cap")*1,(ISNUMBER(SEARCH("SCOM-SHPLTBR",[1]OUT_FinalEnergyCons!$A$4:$A$10000)))*1,[1]OUT_FinalEnergyCons!E$4:E$10000)</f>
        <v>0.17487253643977568</v>
      </c>
      <c r="H1893" s="1" cm="1">
        <f t="array" ref="H1893">SUMPRODUCT(([1]OUT_FinalEnergyCons!$B$4:$B$10000="Var_cap")*1,(ISNUMBER(SEARCH("SCOM-SHPLTBR",[1]OUT_FinalEnergyCons!$A$4:$A$10000)))*1,[1]OUT_FinalEnergyCons!F$4:F$10000)</f>
        <v>7.5074739872281415E-2</v>
      </c>
      <c r="I1893" s="1" cm="1">
        <f t="array" ref="I1893">SUMPRODUCT(([1]OUT_FinalEnergyCons!$B$4:$B$10000="Var_cap")*1,(ISNUMBER(SEARCH("SCOM-SHPLTBR",[1]OUT_FinalEnergyCons!$A$4:$A$10000)))*1,[1]OUT_FinalEnergyCons!G$4:G$10000)</f>
        <v>7.5073726039980013E-2</v>
      </c>
      <c r="J1893" s="1" cm="1">
        <f t="array" ref="J1893">SUMPRODUCT(([1]OUT_FinalEnergyCons!$B$4:$B$10000="Var_cap")*1,(ISNUMBER(SEARCH("SCOM-SHPLTBR",[1]OUT_FinalEnergyCons!$A$4:$A$10000)))*1,[1]OUT_FinalEnergyCons!H$4:H$10000)</f>
        <v>8.9799580377844287E-2</v>
      </c>
      <c r="K1893" s="1" cm="1">
        <f t="array" ref="K1893">SUMPRODUCT(([1]OUT_FinalEnergyCons!$B$4:$B$10000="Var_cap")*1,(ISNUMBER(SEARCH("SCOM-SHPLTBR",[1]OUT_FinalEnergyCons!$A$4:$A$10000)))*1,[1]OUT_FinalEnergyCons!I$4:I$10000)</f>
        <v>0.11014471170417427</v>
      </c>
    </row>
    <row r="1894" spans="2:11" x14ac:dyDescent="0.35">
      <c r="B1894" s="5" t="str">
        <f t="shared" si="1165"/>
        <v>SPS4</v>
      </c>
      <c r="C1894" s="5" t="str">
        <f t="shared" ref="C1894" si="1238">C1893</f>
        <v>CH</v>
      </c>
      <c r="D1894" t="s">
        <v>1915</v>
      </c>
      <c r="E1894" t="str">
        <f t="shared" si="1226"/>
        <v>GWth/yr.</v>
      </c>
      <c r="F1894" s="1">
        <f>F1895</f>
        <v>9.1072442318031396E-2</v>
      </c>
      <c r="G1894" s="1">
        <f t="shared" ref="G1894:K1894" si="1239">G1895</f>
        <v>9.9832527435201296E-2</v>
      </c>
      <c r="H1894" s="1">
        <f t="shared" si="1239"/>
        <v>9.9831019491138373E-2</v>
      </c>
      <c r="I1894" s="1">
        <f t="shared" si="1239"/>
        <v>9.9831107037747641E-2</v>
      </c>
      <c r="J1894" s="1">
        <f t="shared" si="1239"/>
        <v>0.10788020417055551</v>
      </c>
      <c r="K1894" s="1">
        <f t="shared" si="1239"/>
        <v>0.12976083147739498</v>
      </c>
    </row>
    <row r="1895" spans="2:11" x14ac:dyDescent="0.35">
      <c r="B1895" s="5" t="str">
        <f t="shared" si="1165"/>
        <v>SPS4</v>
      </c>
      <c r="C1895" s="5" t="str">
        <f t="shared" ref="C1895" si="1240">C1894</f>
        <v>CH</v>
      </c>
      <c r="D1895" t="s">
        <v>1916</v>
      </c>
      <c r="E1895" t="str">
        <f t="shared" si="1226"/>
        <v>GWth/yr.</v>
      </c>
      <c r="F1895" s="1" cm="1">
        <f t="array" ref="F1895">SUMPRODUCT(([1]OUT_FinalEnergyCons!$B$4:$B$10000="Var_cap")*1, (ISNUMBER(SEARCH("SCOM-SHSOLBR",[1]OUT_FinalEnergyCons!$A$4:$A$10000)))*1,[1]OUT_FinalEnergyCons!D$4:D$10000)</f>
        <v>9.1072442318031396E-2</v>
      </c>
      <c r="G1895" s="1" cm="1">
        <f t="array" ref="G1895">SUMPRODUCT(([1]OUT_FinalEnergyCons!$B$4:$B$10000="Var_cap")*1, (ISNUMBER(SEARCH("SCOM-SHSOLBR",[1]OUT_FinalEnergyCons!$A$4:$A$10000)))*1,[1]OUT_FinalEnergyCons!E$4:E$10000)</f>
        <v>9.9832527435201296E-2</v>
      </c>
      <c r="H1895" s="1" cm="1">
        <f t="array" ref="H1895">SUMPRODUCT(([1]OUT_FinalEnergyCons!$B$4:$B$10000="Var_cap")*1, (ISNUMBER(SEARCH("SCOM-SHSOLBR",[1]OUT_FinalEnergyCons!$A$4:$A$10000)))*1,[1]OUT_FinalEnergyCons!F$4:F$10000)</f>
        <v>9.9831019491138373E-2</v>
      </c>
      <c r="I1895" s="1" cm="1">
        <f t="array" ref="I1895">SUMPRODUCT(([1]OUT_FinalEnergyCons!$B$4:$B$10000="Var_cap")*1, (ISNUMBER(SEARCH("SCOM-SHSOLBR",[1]OUT_FinalEnergyCons!$A$4:$A$10000)))*1,[1]OUT_FinalEnergyCons!G$4:G$10000)</f>
        <v>9.9831107037747641E-2</v>
      </c>
      <c r="J1895" s="1" cm="1">
        <f t="array" ref="J1895">SUMPRODUCT(([1]OUT_FinalEnergyCons!$B$4:$B$10000="Var_cap")*1, (ISNUMBER(SEARCH("SCOM-SHSOLBR",[1]OUT_FinalEnergyCons!$A$4:$A$10000)))*1,[1]OUT_FinalEnergyCons!H$4:H$10000)</f>
        <v>0.10788020417055551</v>
      </c>
      <c r="K1895" s="1" cm="1">
        <f t="array" ref="K1895">SUMPRODUCT(([1]OUT_FinalEnergyCons!$B$4:$B$10000="Var_cap")*1, (ISNUMBER(SEARCH("SCOM-SHSOLBR",[1]OUT_FinalEnergyCons!$A$4:$A$10000)))*1,[1]OUT_FinalEnergyCons!I$4:I$10000)</f>
        <v>0.12976083147739498</v>
      </c>
    </row>
    <row r="1896" spans="2:11" x14ac:dyDescent="0.35">
      <c r="B1896" s="5" t="str">
        <f t="shared" si="1165"/>
        <v>SPS4</v>
      </c>
      <c r="C1896" s="5" t="str">
        <f t="shared" ref="C1896" si="1241">C1895</f>
        <v>CH</v>
      </c>
      <c r="D1896" t="s">
        <v>1917</v>
      </c>
      <c r="E1896" t="str">
        <f t="shared" si="1226"/>
        <v>GWth/yr.</v>
      </c>
      <c r="F1896" s="1">
        <f>F1897</f>
        <v>0</v>
      </c>
      <c r="G1896" s="1">
        <f t="shared" ref="G1896:K1896" si="1242">G1897</f>
        <v>0</v>
      </c>
      <c r="H1896" s="1">
        <f t="shared" si="1242"/>
        <v>0</v>
      </c>
      <c r="I1896" s="1">
        <f t="shared" si="1242"/>
        <v>6.6699803174827799E-7</v>
      </c>
      <c r="J1896" s="1">
        <f t="shared" si="1242"/>
        <v>0.78995742280654957</v>
      </c>
      <c r="K1896" s="1">
        <f t="shared" si="1242"/>
        <v>0.75772788228097787</v>
      </c>
    </row>
    <row r="1897" spans="2:11" x14ac:dyDescent="0.35">
      <c r="B1897" s="5" t="str">
        <f t="shared" si="1165"/>
        <v>SPS4</v>
      </c>
      <c r="C1897" s="5" t="str">
        <f t="shared" ref="C1897" si="1243">C1896</f>
        <v>CH</v>
      </c>
      <c r="D1897" t="s">
        <v>1918</v>
      </c>
      <c r="E1897" t="str">
        <f t="shared" si="1226"/>
        <v>GWth/yr.</v>
      </c>
      <c r="F1897" s="1" cm="1">
        <f t="array" ref="F1897">SUMPRODUCT(([1]OUT_FinalEnergyCons!$B$4:$B$10000="Var_cap")*1, (ISNUMBER(SEARCH("SCOM-SHH2BR",[1]OUT_FinalEnergyCons!$A$4:$A$10000)))*1,[1]OUT_FinalEnergyCons!D$4:D$10000)</f>
        <v>0</v>
      </c>
      <c r="G1897" s="1" cm="1">
        <f t="array" ref="G1897">SUMPRODUCT(([1]OUT_FinalEnergyCons!$B$4:$B$10000="Var_cap")*1, (ISNUMBER(SEARCH("SCOM-SHH2BR",[1]OUT_FinalEnergyCons!$A$4:$A$10000)))*1,[1]OUT_FinalEnergyCons!E$4:E$10000)</f>
        <v>0</v>
      </c>
      <c r="H1897" s="1" cm="1">
        <f t="array" ref="H1897">SUMPRODUCT(([1]OUT_FinalEnergyCons!$B$4:$B$10000="Var_cap")*1, (ISNUMBER(SEARCH("SCOM-SHH2BR",[1]OUT_FinalEnergyCons!$A$4:$A$10000)))*1,[1]OUT_FinalEnergyCons!F$4:F$10000)</f>
        <v>0</v>
      </c>
      <c r="I1897" s="1" cm="1">
        <f t="array" ref="I1897">SUMPRODUCT(([1]OUT_FinalEnergyCons!$B$4:$B$10000="Var_cap")*1, (ISNUMBER(SEARCH("SCOM-SHH2BR",[1]OUT_FinalEnergyCons!$A$4:$A$10000)))*1,[1]OUT_FinalEnergyCons!G$4:G$10000)</f>
        <v>6.6699803174827799E-7</v>
      </c>
      <c r="J1897" s="1" cm="1">
        <f t="array" ref="J1897">SUMPRODUCT(([1]OUT_FinalEnergyCons!$B$4:$B$10000="Var_cap")*1, (ISNUMBER(SEARCH("SCOM-SHH2BR",[1]OUT_FinalEnergyCons!$A$4:$A$10000)))*1,[1]OUT_FinalEnergyCons!H$4:H$10000)</f>
        <v>0.78995742280654957</v>
      </c>
      <c r="K1897" s="1" cm="1">
        <f t="array" ref="K1897">SUMPRODUCT(([1]OUT_FinalEnergyCons!$B$4:$B$10000="Var_cap")*1, (ISNUMBER(SEARCH("SCOM-SHH2BR",[1]OUT_FinalEnergyCons!$A$4:$A$10000)))*1,[1]OUT_FinalEnergyCons!I$4:I$10000)</f>
        <v>0.75772788228097787</v>
      </c>
    </row>
    <row r="1898" spans="2:11" x14ac:dyDescent="0.35">
      <c r="B1898" s="5" t="str">
        <f t="shared" si="1165"/>
        <v>SPS4</v>
      </c>
      <c r="C1898" s="5" t="str">
        <f>C1897</f>
        <v>CH</v>
      </c>
      <c r="D1898" s="2" t="s">
        <v>1921</v>
      </c>
      <c r="E1898" s="2" t="s">
        <v>1973</v>
      </c>
      <c r="F1898" s="3">
        <f>SUM(F1899:F1948)</f>
        <v>4.6764807310245597</v>
      </c>
      <c r="G1898" s="3">
        <f t="shared" ref="G1898:K1898" si="1244">SUM(G1899:G1948)</f>
        <v>4.8249538139040178</v>
      </c>
      <c r="H1898" s="3">
        <f t="shared" si="1244"/>
        <v>4.9361061225361507</v>
      </c>
      <c r="I1898" s="3">
        <f t="shared" si="1244"/>
        <v>5.5024490568819804</v>
      </c>
      <c r="J1898" s="3">
        <f t="shared" si="1244"/>
        <v>5.8384363547674729</v>
      </c>
      <c r="K1898" s="3">
        <f t="shared" si="1244"/>
        <v>6.0478333851246902</v>
      </c>
    </row>
    <row r="1899" spans="2:11" x14ac:dyDescent="0.35">
      <c r="B1899" s="5" t="str">
        <f t="shared" si="1165"/>
        <v>SPS4</v>
      </c>
      <c r="C1899" s="5" t="str">
        <f t="shared" ref="C1899:C1948" si="1245">C1898</f>
        <v>CH</v>
      </c>
      <c r="D1899" t="s">
        <v>1922</v>
      </c>
      <c r="E1899" t="str">
        <f>E1898</f>
        <v>Million</v>
      </c>
      <c r="F1899" s="1" cm="1">
        <f t="array" ref="F1899">SUMPRODUCT(("Var_Cap"=[1]OUT_TransportEnergyCons!$B$4:$B$10000)*1,("-"=[1]OUT_TransportEnergyCons!$C$4:$C$10000)*1,ISNUMBER(SEARCH("T_C*bat*ext",[1]OUT_TransportEnergyCons!$A$4:$A$10000))*1,[1]OUT_TransportEnergyCons!D$4:D$10000)</f>
        <v>4.2040000000000001E-2</v>
      </c>
      <c r="G1899" s="1" cm="1">
        <f t="array" ref="G1899">SUMPRODUCT(("Var_Cap"=[1]OUT_TransportEnergyCons!$B$4:$B$10000)*1,("-"=[1]OUT_TransportEnergyCons!$C$4:$C$10000)*1,ISNUMBER(SEARCH("T_C*bat*ext",[1]OUT_TransportEnergyCons!$A$4:$A$10000))*1,[1]OUT_TransportEnergyCons!E$4:E$10000)</f>
        <v>3.6434666666666699E-2</v>
      </c>
      <c r="H1899" s="1" cm="1">
        <f t="array" ref="H1899">SUMPRODUCT(("Var_Cap"=[1]OUT_TransportEnergyCons!$B$4:$B$10000)*1,("-"=[1]OUT_TransportEnergyCons!$C$4:$C$10000)*1,ISNUMBER(SEARCH("T_C*bat*ext",[1]OUT_TransportEnergyCons!$A$4:$A$10000))*1,[1]OUT_TransportEnergyCons!F$4:F$10000)</f>
        <v>2.8026633463461001E-2</v>
      </c>
      <c r="I1899" s="1" cm="1">
        <f t="array" ref="I1899">SUMPRODUCT(("Var_Cap"=[1]OUT_TransportEnergyCons!$B$4:$B$10000)*1,("-"=[1]OUT_TransportEnergyCons!$C$4:$C$10000)*1,ISNUMBER(SEARCH("T_C*bat*ext",[1]OUT_TransportEnergyCons!$A$4:$A$10000))*1,[1]OUT_TransportEnergyCons!G$4:G$10000)</f>
        <v>1.40133333333333E-2</v>
      </c>
      <c r="J1899" s="1" cm="1">
        <f t="array" ref="J1899">SUMPRODUCT(("Var_Cap"=[1]OUT_TransportEnergyCons!$B$4:$B$10000)*1,("-"=[1]OUT_TransportEnergyCons!$C$4:$C$10000)*1,ISNUMBER(SEARCH("T_C*bat*ext",[1]OUT_TransportEnergyCons!$A$4:$A$10000))*1,[1]OUT_TransportEnergyCons!H$4:H$10000)</f>
        <v>0</v>
      </c>
      <c r="K1899" s="1" cm="1">
        <f t="array" ref="K1899">SUMPRODUCT(("Var_Cap"=[1]OUT_TransportEnergyCons!$B$4:$B$10000)*1,("-"=[1]OUT_TransportEnergyCons!$C$4:$C$10000)*1,ISNUMBER(SEARCH("T_C*bat*ext",[1]OUT_TransportEnergyCons!$A$4:$A$10000))*1,[1]OUT_TransportEnergyCons!I$4:I$10000)</f>
        <v>0</v>
      </c>
    </row>
    <row r="1900" spans="2:11" x14ac:dyDescent="0.35">
      <c r="B1900" s="5" t="str">
        <f t="shared" si="1165"/>
        <v>SPS4</v>
      </c>
      <c r="C1900" s="5" t="str">
        <f t="shared" si="1245"/>
        <v>CH</v>
      </c>
      <c r="D1900" t="s">
        <v>1923</v>
      </c>
      <c r="E1900" t="str">
        <f t="shared" ref="E1900:E1948" si="1246">E1899</f>
        <v>Million</v>
      </c>
      <c r="F1900" s="1" cm="1">
        <f t="array" ref="F1900">SUMPRODUCT(("Var_Cap"=[1]OUT_TransportEnergyCons!$B$4:$B$10000)*1,("-"=[1]OUT_TransportEnergyCons!$C$4:$C$10000)*1,ISNUMBER(SEARCH("T_C*bat*s1",[1]OUT_TransportEnergyCons!$A$4:$A$10000))*1,[1]OUT_TransportEnergyCons!D$4:D$10000)</f>
        <v>1.531075974137051E-3</v>
      </c>
      <c r="G1900" s="1" cm="1">
        <f t="array" ref="G1900">SUMPRODUCT(("Var_Cap"=[1]OUT_TransportEnergyCons!$B$4:$B$10000)*1,("-"=[1]OUT_TransportEnergyCons!$C$4:$C$10000)*1,ISNUMBER(SEARCH("T_C*bat*s1",[1]OUT_TransportEnergyCons!$A$4:$A$10000))*1,[1]OUT_TransportEnergyCons!E$4:E$10000)</f>
        <v>2.7429971035860625E-3</v>
      </c>
      <c r="H1900" s="1" cm="1">
        <f t="array" ref="H1900">SUMPRODUCT(("Var_Cap"=[1]OUT_TransportEnergyCons!$B$4:$B$10000)*1,("-"=[1]OUT_TransportEnergyCons!$C$4:$C$10000)*1,ISNUMBER(SEARCH("T_C*bat*s1",[1]OUT_TransportEnergyCons!$A$4:$A$10000))*1,[1]OUT_TransportEnergyCons!F$4:F$10000)</f>
        <v>3.0191981745802715E-3</v>
      </c>
      <c r="I1900" s="1" cm="1">
        <f t="array" ref="I1900">SUMPRODUCT(("Var_Cap"=[1]OUT_TransportEnergyCons!$B$4:$B$10000)*1,("-"=[1]OUT_TransportEnergyCons!$C$4:$C$10000)*1,ISNUMBER(SEARCH("T_C*bat*s1",[1]OUT_TransportEnergyCons!$A$4:$A$10000))*1,[1]OUT_TransportEnergyCons!G$4:G$10000)</f>
        <v>2.6189721427054067E-3</v>
      </c>
      <c r="J1900" s="1" cm="1">
        <f t="array" ref="J1900">SUMPRODUCT(("Var_Cap"=[1]OUT_TransportEnergyCons!$B$4:$B$10000)*1,("-"=[1]OUT_TransportEnergyCons!$C$4:$C$10000)*1,ISNUMBER(SEARCH("T_C*bat*s1",[1]OUT_TransportEnergyCons!$A$4:$A$10000))*1,[1]OUT_TransportEnergyCons!H$4:H$10000)</f>
        <v>1.1844364989908375E-2</v>
      </c>
      <c r="K1900" s="1" cm="1">
        <f t="array" ref="K1900">SUMPRODUCT(("Var_Cap"=[1]OUT_TransportEnergyCons!$B$4:$B$10000)*1,("-"=[1]OUT_TransportEnergyCons!$C$4:$C$10000)*1,ISNUMBER(SEARCH("T_C*bat*s1",[1]OUT_TransportEnergyCons!$A$4:$A$10000))*1,[1]OUT_TransportEnergyCons!I$4:I$10000)</f>
        <v>0.25818626111577914</v>
      </c>
    </row>
    <row r="1901" spans="2:11" x14ac:dyDescent="0.35">
      <c r="B1901" s="5" t="str">
        <f t="shared" si="1165"/>
        <v>SPS4</v>
      </c>
      <c r="C1901" s="5" t="str">
        <f t="shared" si="1245"/>
        <v>CH</v>
      </c>
      <c r="D1901" t="s">
        <v>1924</v>
      </c>
      <c r="E1901" t="str">
        <f t="shared" si="1246"/>
        <v>Million</v>
      </c>
      <c r="F1901" s="1" cm="1">
        <f t="array" ref="F1901">SUMPRODUCT(("Var_Cap"=[1]OUT_TransportEnergyCons!$B$4:$B$10000)*1,("-"=[1]OUT_TransportEnergyCons!$C$4:$C$10000)*1,ISNUMBER(SEARCH("T_C*bat*s2",[1]OUT_TransportEnergyCons!$A$4:$A$10000))*1,[1]OUT_TransportEnergyCons!D$4:D$10000)</f>
        <v>7.3588082067931665E-3</v>
      </c>
      <c r="G1901" s="1" cm="1">
        <f t="array" ref="G1901">SUMPRODUCT(("Var_Cap"=[1]OUT_TransportEnergyCons!$B$4:$B$10000)*1,("-"=[1]OUT_TransportEnergyCons!$C$4:$C$10000)*1,ISNUMBER(SEARCH("T_C*bat*s2",[1]OUT_TransportEnergyCons!$A$4:$A$10000))*1,[1]OUT_TransportEnergyCons!E$4:E$10000)</f>
        <v>1.1466106101914146E-2</v>
      </c>
      <c r="H1901" s="1" cm="1">
        <f t="array" ref="H1901">SUMPRODUCT(("Var_Cap"=[1]OUT_TransportEnergyCons!$B$4:$B$10000)*1,("-"=[1]OUT_TransportEnergyCons!$C$4:$C$10000)*1,ISNUMBER(SEARCH("T_C*bat*s2",[1]OUT_TransportEnergyCons!$A$4:$A$10000))*1,[1]OUT_TransportEnergyCons!F$4:F$10000)</f>
        <v>0.1144819118871389</v>
      </c>
      <c r="I1901" s="1" cm="1">
        <f t="array" ref="I1901">SUMPRODUCT(("Var_Cap"=[1]OUT_TransportEnergyCons!$B$4:$B$10000)*1,("-"=[1]OUT_TransportEnergyCons!$C$4:$C$10000)*1,ISNUMBER(SEARCH("T_C*bat*s2",[1]OUT_TransportEnergyCons!$A$4:$A$10000))*1,[1]OUT_TransportEnergyCons!G$4:G$10000)</f>
        <v>0.65976991310042998</v>
      </c>
      <c r="J1901" s="1" cm="1">
        <f t="array" ref="J1901">SUMPRODUCT(("Var_Cap"=[1]OUT_TransportEnergyCons!$B$4:$B$10000)*1,("-"=[1]OUT_TransportEnergyCons!$C$4:$C$10000)*1,ISNUMBER(SEARCH("T_C*bat*s2",[1]OUT_TransportEnergyCons!$A$4:$A$10000))*1,[1]OUT_TransportEnergyCons!H$4:H$10000)</f>
        <v>1.8307616615241875</v>
      </c>
      <c r="K1901" s="1" cm="1">
        <f t="array" ref="K1901">SUMPRODUCT(("Var_Cap"=[1]OUT_TransportEnergyCons!$B$4:$B$10000)*1,("-"=[1]OUT_TransportEnergyCons!$C$4:$C$10000)*1,ISNUMBER(SEARCH("T_C*bat*s2",[1]OUT_TransportEnergyCons!$A$4:$A$10000))*1,[1]OUT_TransportEnergyCons!I$4:I$10000)</f>
        <v>1.6378068145965281</v>
      </c>
    </row>
    <row r="1902" spans="2:11" x14ac:dyDescent="0.35">
      <c r="B1902" s="5" t="str">
        <f t="shared" si="1165"/>
        <v>SPS4</v>
      </c>
      <c r="C1902" s="5" t="str">
        <f t="shared" si="1245"/>
        <v>CH</v>
      </c>
      <c r="D1902" t="s">
        <v>1925</v>
      </c>
      <c r="E1902" t="str">
        <f t="shared" si="1246"/>
        <v>Million</v>
      </c>
      <c r="F1902" s="1" cm="1">
        <f t="array" ref="F1902">SUMPRODUCT(("Var_Cap"=[1]OUT_TransportEnergyCons!$B$4:$B$10000)*1,("-"=[1]OUT_TransportEnergyCons!$C$4:$C$10000)*1,ISNUMBER(SEARCH("T_C*bat*s3",[1]OUT_TransportEnergyCons!$A$4:$A$10000))*1,[1]OUT_TransportEnergyCons!D$4:D$10000)</f>
        <v>4.2768286902776015E-3</v>
      </c>
      <c r="G1902" s="1" cm="1">
        <f t="array" ref="G1902">SUMPRODUCT(("Var_Cap"=[1]OUT_TransportEnergyCons!$B$4:$B$10000)*1,("-"=[1]OUT_TransportEnergyCons!$C$4:$C$10000)*1,ISNUMBER(SEARCH("T_C*bat*s3",[1]OUT_TransportEnergyCons!$A$4:$A$10000))*1,[1]OUT_TransportEnergyCons!E$4:E$10000)</f>
        <v>8.890022640581096E-3</v>
      </c>
      <c r="H1902" s="1" cm="1">
        <f t="array" ref="H1902">SUMPRODUCT(("Var_Cap"=[1]OUT_TransportEnergyCons!$B$4:$B$10000)*1,("-"=[1]OUT_TransportEnergyCons!$C$4:$C$10000)*1,ISNUMBER(SEARCH("T_C*bat*s3",[1]OUT_TransportEnergyCons!$A$4:$A$10000))*1,[1]OUT_TransportEnergyCons!F$4:F$10000)</f>
        <v>1.2656676985685985E-2</v>
      </c>
      <c r="I1902" s="1" cm="1">
        <f t="array" ref="I1902">SUMPRODUCT(("Var_Cap"=[1]OUT_TransportEnergyCons!$B$4:$B$10000)*1,("-"=[1]OUT_TransportEnergyCons!$C$4:$C$10000)*1,ISNUMBER(SEARCH("T_C*bat*s3",[1]OUT_TransportEnergyCons!$A$4:$A$10000))*1,[1]OUT_TransportEnergyCons!G$4:G$10000)</f>
        <v>0.19562696973429344</v>
      </c>
      <c r="J1902" s="1" cm="1">
        <f t="array" ref="J1902">SUMPRODUCT(("Var_Cap"=[1]OUT_TransportEnergyCons!$B$4:$B$10000)*1,("-"=[1]OUT_TransportEnergyCons!$C$4:$C$10000)*1,ISNUMBER(SEARCH("T_C*bat*s3",[1]OUT_TransportEnergyCons!$A$4:$A$10000))*1,[1]OUT_TransportEnergyCons!H$4:H$10000)</f>
        <v>0.425531948033256</v>
      </c>
      <c r="K1902" s="1" cm="1">
        <f t="array" ref="K1902">SUMPRODUCT(("Var_Cap"=[1]OUT_TransportEnergyCons!$B$4:$B$10000)*1,("-"=[1]OUT_TransportEnergyCons!$C$4:$C$10000)*1,ISNUMBER(SEARCH("T_C*bat*s3",[1]OUT_TransportEnergyCons!$A$4:$A$10000))*1,[1]OUT_TransportEnergyCons!I$4:I$10000)</f>
        <v>0.35911309173870387</v>
      </c>
    </row>
    <row r="1903" spans="2:11" x14ac:dyDescent="0.35">
      <c r="B1903" s="5" t="str">
        <f t="shared" si="1165"/>
        <v>SPS4</v>
      </c>
      <c r="C1903" s="5" t="str">
        <f t="shared" si="1245"/>
        <v>CH</v>
      </c>
      <c r="D1903" t="s">
        <v>1926</v>
      </c>
      <c r="E1903" t="str">
        <f t="shared" si="1246"/>
        <v>Million</v>
      </c>
      <c r="F1903" s="1" cm="1">
        <f t="array" ref="F1903">SUMPRODUCT(("Var_Cap"=[1]OUT_TransportEnergyCons!$B$4:$B$10000)*1,("-"=[1]OUT_TransportEnergyCons!$C$4:$C$10000)*1,ISNUMBER(SEARCH("T_C*bat*s4",[1]OUT_TransportEnergyCons!$A$4:$A$10000))*1,[1]OUT_TransportEnergyCons!D$4:D$10000)</f>
        <v>1.534902304883087E-2</v>
      </c>
      <c r="G1903" s="1" cm="1">
        <f t="array" ref="G1903">SUMPRODUCT(("Var_Cap"=[1]OUT_TransportEnergyCons!$B$4:$B$10000)*1,("-"=[1]OUT_TransportEnergyCons!$C$4:$C$10000)*1,ISNUMBER(SEARCH("T_C*bat*s4",[1]OUT_TransportEnergyCons!$A$4:$A$10000))*1,[1]OUT_TransportEnergyCons!E$4:E$10000)</f>
        <v>0.10745886793618631</v>
      </c>
      <c r="H1903" s="1" cm="1">
        <f t="array" ref="H1903">SUMPRODUCT(("Var_Cap"=[1]OUT_TransportEnergyCons!$B$4:$B$10000)*1,("-"=[1]OUT_TransportEnergyCons!$C$4:$C$10000)*1,ISNUMBER(SEARCH("T_C*bat*s4",[1]OUT_TransportEnergyCons!$A$4:$A$10000))*1,[1]OUT_TransportEnergyCons!F$4:F$10000)</f>
        <v>0.26296369256899826</v>
      </c>
      <c r="I1903" s="1" cm="1">
        <f t="array" ref="I1903">SUMPRODUCT(("Var_Cap"=[1]OUT_TransportEnergyCons!$B$4:$B$10000)*1,("-"=[1]OUT_TransportEnergyCons!$C$4:$C$10000)*1,ISNUMBER(SEARCH("T_C*bat*s4",[1]OUT_TransportEnergyCons!$A$4:$A$10000))*1,[1]OUT_TransportEnergyCons!G$4:G$10000)</f>
        <v>0.3624469575860047</v>
      </c>
      <c r="J1903" s="1" cm="1">
        <f t="array" ref="J1903">SUMPRODUCT(("Var_Cap"=[1]OUT_TransportEnergyCons!$B$4:$B$10000)*1,("-"=[1]OUT_TransportEnergyCons!$C$4:$C$10000)*1,ISNUMBER(SEARCH("T_C*bat*s4",[1]OUT_TransportEnergyCons!$A$4:$A$10000))*1,[1]OUT_TransportEnergyCons!H$4:H$10000)</f>
        <v>0.49681792921104201</v>
      </c>
      <c r="K1903" s="1" cm="1">
        <f t="array" ref="K1903">SUMPRODUCT(("Var_Cap"=[1]OUT_TransportEnergyCons!$B$4:$B$10000)*1,("-"=[1]OUT_TransportEnergyCons!$C$4:$C$10000)*1,ISNUMBER(SEARCH("T_C*bat*s4",[1]OUT_TransportEnergyCons!$A$4:$A$10000))*1,[1]OUT_TransportEnergyCons!I$4:I$10000)</f>
        <v>0.80410568500242141</v>
      </c>
    </row>
    <row r="1904" spans="2:11" x14ac:dyDescent="0.35">
      <c r="B1904" s="5" t="str">
        <f t="shared" si="1165"/>
        <v>SPS4</v>
      </c>
      <c r="C1904" s="5" t="str">
        <f t="shared" si="1245"/>
        <v>CH</v>
      </c>
      <c r="D1904" t="s">
        <v>1927</v>
      </c>
      <c r="E1904" t="str">
        <f t="shared" si="1246"/>
        <v>Million</v>
      </c>
      <c r="F1904" s="1" cm="1">
        <f t="array" ref="F1904">SUMPRODUCT(("Var_Cap"=[1]OUT_TransportEnergyCons!$B$4:$B$10000)*1,("-"=[1]OUT_TransportEnergyCons!$C$4:$C$10000)*1,ISNUMBER(SEARCH("T_C*pev*GSL*s1",[1]OUT_TransportEnergyCons!$A$4:$A$10000))*1,[1]OUT_TransportEnergyCons!D$4:D$10000)</f>
        <v>2.5984084313400144E-5</v>
      </c>
      <c r="G1904" s="1" cm="1">
        <f t="array" ref="G1904">SUMPRODUCT(("Var_Cap"=[1]OUT_TransportEnergyCons!$B$4:$B$10000)*1,("-"=[1]OUT_TransportEnergyCons!$C$4:$C$10000)*1,ISNUMBER(SEARCH("T_C*pev*GSL*s1",[1]OUT_TransportEnergyCons!$A$4:$A$10000))*1,[1]OUT_TransportEnergyCons!E$4:E$10000)</f>
        <v>7.7551400227729894E-5</v>
      </c>
      <c r="H1904" s="1" cm="1">
        <f t="array" ref="H1904">SUMPRODUCT(("Var_Cap"=[1]OUT_TransportEnergyCons!$B$4:$B$10000)*1,("-"=[1]OUT_TransportEnergyCons!$C$4:$C$10000)*1,ISNUMBER(SEARCH("T_C*pev*GSL*s1",[1]OUT_TransportEnergyCons!$A$4:$A$10000))*1,[1]OUT_TransportEnergyCons!F$4:F$10000)</f>
        <v>1.2960534358263929E-4</v>
      </c>
      <c r="I1904" s="1" cm="1">
        <f t="array" ref="I1904">SUMPRODUCT(("Var_Cap"=[1]OUT_TransportEnergyCons!$B$4:$B$10000)*1,("-"=[1]OUT_TransportEnergyCons!$C$4:$C$10000)*1,ISNUMBER(SEARCH("T_C*pev*GSL*s1",[1]OUT_TransportEnergyCons!$A$4:$A$10000))*1,[1]OUT_TransportEnergyCons!G$4:G$10000)</f>
        <v>1.3788629130650503E-4</v>
      </c>
      <c r="J1904" s="1" cm="1">
        <f t="array" ref="J1904">SUMPRODUCT(("Var_Cap"=[1]OUT_TransportEnergyCons!$B$4:$B$10000)*1,("-"=[1]OUT_TransportEnergyCons!$C$4:$C$10000)*1,ISNUMBER(SEARCH("T_C*pev*GSL*s1",[1]OUT_TransportEnergyCons!$A$4:$A$10000))*1,[1]OUT_TransportEnergyCons!H$4:H$10000)</f>
        <v>1.2544489529064796E-4</v>
      </c>
      <c r="K1904" s="1" cm="1">
        <f t="array" ref="K1904">SUMPRODUCT(("Var_Cap"=[1]OUT_TransportEnergyCons!$B$4:$B$10000)*1,("-"=[1]OUT_TransportEnergyCons!$C$4:$C$10000)*1,ISNUMBER(SEARCH("T_C*pev*GSL*s1",[1]OUT_TransportEnergyCons!$A$4:$A$10000))*1,[1]OUT_TransportEnergyCons!I$4:I$10000)</f>
        <v>8.5912910323167216E-5</v>
      </c>
    </row>
    <row r="1905" spans="2:11" x14ac:dyDescent="0.35">
      <c r="B1905" s="5" t="str">
        <f t="shared" si="1165"/>
        <v>SPS4</v>
      </c>
      <c r="C1905" s="5" t="str">
        <f t="shared" si="1245"/>
        <v>CH</v>
      </c>
      <c r="D1905" t="s">
        <v>1928</v>
      </c>
      <c r="E1905" t="str">
        <f t="shared" si="1246"/>
        <v>Million</v>
      </c>
      <c r="F1905" s="1" cm="1">
        <f t="array" ref="F1905">SUMPRODUCT(("Var_Cap"=[1]OUT_TransportEnergyCons!$B$4:$B$10000)*1,("-"=[1]OUT_TransportEnergyCons!$C$4:$C$10000)*1,ISNUMBER(SEARCH("T_C*pev*GSL*s2",[1]OUT_TransportEnergyCons!$A$4:$A$10000))*1,[1]OUT_TransportEnergyCons!D$4:D$10000)</f>
        <v>4.8853928382318135E-3</v>
      </c>
      <c r="G1905" s="1" cm="1">
        <f t="array" ref="G1905">SUMPRODUCT(("Var_Cap"=[1]OUT_TransportEnergyCons!$B$4:$B$10000)*1,("-"=[1]OUT_TransportEnergyCons!$C$4:$C$10000)*1,ISNUMBER(SEARCH("T_C*pev*GSL*s2",[1]OUT_TransportEnergyCons!$A$4:$A$10000))*1,[1]OUT_TransportEnergyCons!E$4:E$10000)</f>
        <v>7.4956655273199606E-3</v>
      </c>
      <c r="H1905" s="1" cm="1">
        <f t="array" ref="H1905">SUMPRODUCT(("Var_Cap"=[1]OUT_TransportEnergyCons!$B$4:$B$10000)*1,("-"=[1]OUT_TransportEnergyCons!$C$4:$C$10000)*1,ISNUMBER(SEARCH("T_C*pev*GSL*s2",[1]OUT_TransportEnergyCons!$A$4:$A$10000))*1,[1]OUT_TransportEnergyCons!F$4:F$10000)</f>
        <v>7.3105443457833486E-3</v>
      </c>
      <c r="I1905" s="1" cm="1">
        <f t="array" ref="I1905">SUMPRODUCT(("Var_Cap"=[1]OUT_TransportEnergyCons!$B$4:$B$10000)*1,("-"=[1]OUT_TransportEnergyCons!$C$4:$C$10000)*1,ISNUMBER(SEARCH("T_C*pev*GSL*s2",[1]OUT_TransportEnergyCons!$A$4:$A$10000))*1,[1]OUT_TransportEnergyCons!G$4:G$10000)</f>
        <v>6.0172054535073327E-3</v>
      </c>
      <c r="J1905" s="1" cm="1">
        <f t="array" ref="J1905">SUMPRODUCT(("Var_Cap"=[1]OUT_TransportEnergyCons!$B$4:$B$10000)*1,("-"=[1]OUT_TransportEnergyCons!$C$4:$C$10000)*1,ISNUMBER(SEARCH("T_C*pev*GSL*s2",[1]OUT_TransportEnergyCons!$A$4:$A$10000))*1,[1]OUT_TransportEnergyCons!H$4:H$10000)</f>
        <v>2.7845419047478685E-4</v>
      </c>
      <c r="K1905" s="1" cm="1">
        <f t="array" ref="K1905">SUMPRODUCT(("Var_Cap"=[1]OUT_TransportEnergyCons!$B$4:$B$10000)*1,("-"=[1]OUT_TransportEnergyCons!$C$4:$C$10000)*1,ISNUMBER(SEARCH("T_C*pev*GSL*s2",[1]OUT_TransportEnergyCons!$A$4:$A$10000))*1,[1]OUT_TransportEnergyCons!I$4:I$10000)</f>
        <v>1.7364331353767826E-4</v>
      </c>
    </row>
    <row r="1906" spans="2:11" x14ac:dyDescent="0.35">
      <c r="B1906" s="5" t="str">
        <f t="shared" si="1165"/>
        <v>SPS4</v>
      </c>
      <c r="C1906" s="5" t="str">
        <f t="shared" si="1245"/>
        <v>CH</v>
      </c>
      <c r="D1906" t="s">
        <v>1929</v>
      </c>
      <c r="E1906" t="str">
        <f t="shared" si="1246"/>
        <v>Million</v>
      </c>
      <c r="F1906" s="1" cm="1">
        <f t="array" ref="F1906">SUMPRODUCT(("Var_Cap"=[1]OUT_TransportEnergyCons!$B$4:$B$10000)*1,("-"=[1]OUT_TransportEnergyCons!$C$4:$C$10000)*1,ISNUMBER(SEARCH("T_C*pev*GSL*s3",[1]OUT_TransportEnergyCons!$A$4:$A$10000))*1,[1]OUT_TransportEnergyCons!D$4:D$10000)</f>
        <v>4.0681502111351566E-3</v>
      </c>
      <c r="G1906" s="1" cm="1">
        <f t="array" ref="G1906">SUMPRODUCT(("Var_Cap"=[1]OUT_TransportEnergyCons!$B$4:$B$10000)*1,("-"=[1]OUT_TransportEnergyCons!$C$4:$C$10000)*1,ISNUMBER(SEARCH("T_C*pev*GSL*s3",[1]OUT_TransportEnergyCons!$A$4:$A$10000))*1,[1]OUT_TransportEnergyCons!E$4:E$10000)</f>
        <v>4.5952769629525297E-2</v>
      </c>
      <c r="H1906" s="1" cm="1">
        <f t="array" ref="H1906">SUMPRODUCT(("Var_Cap"=[1]OUT_TransportEnergyCons!$B$4:$B$10000)*1,("-"=[1]OUT_TransportEnergyCons!$C$4:$C$10000)*1,ISNUMBER(SEARCH("T_C*pev*GSL*s3",[1]OUT_TransportEnergyCons!$A$4:$A$10000))*1,[1]OUT_TransportEnergyCons!F$4:F$10000)</f>
        <v>8.1967639545273224E-2</v>
      </c>
      <c r="I1906" s="1" cm="1">
        <f t="array" ref="I1906">SUMPRODUCT(("Var_Cap"=[1]OUT_TransportEnergyCons!$B$4:$B$10000)*1,("-"=[1]OUT_TransportEnergyCons!$C$4:$C$10000)*1,ISNUMBER(SEARCH("T_C*pev*GSL*s3",[1]OUT_TransportEnergyCons!$A$4:$A$10000))*1,[1]OUT_TransportEnergyCons!G$4:G$10000)</f>
        <v>8.9609425676528548E-2</v>
      </c>
      <c r="J1906" s="1" cm="1">
        <f t="array" ref="J1906">SUMPRODUCT(("Var_Cap"=[1]OUT_TransportEnergyCons!$B$4:$B$10000)*1,("-"=[1]OUT_TransportEnergyCons!$C$4:$C$10000)*1,ISNUMBER(SEARCH("T_C*pev*GSL*s3",[1]OUT_TransportEnergyCons!$A$4:$A$10000))*1,[1]OUT_TransportEnergyCons!H$4:H$10000)</f>
        <v>6.2587284590959816E-2</v>
      </c>
      <c r="K1906" s="1" cm="1">
        <f t="array" ref="K1906">SUMPRODUCT(("Var_Cap"=[1]OUT_TransportEnergyCons!$B$4:$B$10000)*1,("-"=[1]OUT_TransportEnergyCons!$C$4:$C$10000)*1,ISNUMBER(SEARCH("T_C*pev*GSL*s3",[1]OUT_TransportEnergyCons!$A$4:$A$10000))*1,[1]OUT_TransportEnergyCons!I$4:I$10000)</f>
        <v>0.12199663758044969</v>
      </c>
    </row>
    <row r="1907" spans="2:11" x14ac:dyDescent="0.35">
      <c r="B1907" s="5" t="str">
        <f t="shared" si="1165"/>
        <v>SPS4</v>
      </c>
      <c r="C1907" s="5" t="str">
        <f t="shared" si="1245"/>
        <v>CH</v>
      </c>
      <c r="D1907" t="s">
        <v>1930</v>
      </c>
      <c r="E1907" t="str">
        <f t="shared" si="1246"/>
        <v>Million</v>
      </c>
      <c r="F1907" s="1" cm="1">
        <f t="array" ref="F1907">SUMPRODUCT(("Var_Cap"=[1]OUT_TransportEnergyCons!$B$4:$B$10000)*1,("-"=[1]OUT_TransportEnergyCons!$C$4:$C$10000)*1,ISNUMBER(SEARCH("T_C*pev*GSL*s4",[1]OUT_TransportEnergyCons!$A$4:$A$10000))*1,[1]OUT_TransportEnergyCons!D$4:D$10000)</f>
        <v>7.2620886448426947E-3</v>
      </c>
      <c r="G1907" s="1" cm="1">
        <f t="array" ref="G1907">SUMPRODUCT(("Var_Cap"=[1]OUT_TransportEnergyCons!$B$4:$B$10000)*1,("-"=[1]OUT_TransportEnergyCons!$C$4:$C$10000)*1,ISNUMBER(SEARCH("T_C*pev*GSL*s4",[1]OUT_TransportEnergyCons!$A$4:$A$10000))*1,[1]OUT_TransportEnergyCons!E$4:E$10000)</f>
        <v>1.2603714262236958E-2</v>
      </c>
      <c r="H1907" s="1" cm="1">
        <f t="array" ref="H1907">SUMPRODUCT(("Var_Cap"=[1]OUT_TransportEnergyCons!$B$4:$B$10000)*1,("-"=[1]OUT_TransportEnergyCons!$C$4:$C$10000)*1,ISNUMBER(SEARCH("T_C*pev*GSL*s4",[1]OUT_TransportEnergyCons!$A$4:$A$10000))*1,[1]OUT_TransportEnergyCons!F$4:F$10000)</f>
        <v>1.2220721358442188E-2</v>
      </c>
      <c r="I1907" s="1" cm="1">
        <f t="array" ref="I1907">SUMPRODUCT(("Var_Cap"=[1]OUT_TransportEnergyCons!$B$4:$B$10000)*1,("-"=[1]OUT_TransportEnergyCons!$C$4:$C$10000)*1,ISNUMBER(SEARCH("T_C*pev*GSL*s4",[1]OUT_TransportEnergyCons!$A$4:$A$10000))*1,[1]OUT_TransportEnergyCons!G$4:G$10000)</f>
        <v>9.9017157060254206E-3</v>
      </c>
      <c r="J1907" s="1" cm="1">
        <f t="array" ref="J1907">SUMPRODUCT(("Var_Cap"=[1]OUT_TransportEnergyCons!$B$4:$B$10000)*1,("-"=[1]OUT_TransportEnergyCons!$C$4:$C$10000)*1,ISNUMBER(SEARCH("T_C*pev*GSL*s4",[1]OUT_TransportEnergyCons!$A$4:$A$10000))*1,[1]OUT_TransportEnergyCons!H$4:H$10000)</f>
        <v>3.6558550580831166E-4</v>
      </c>
      <c r="K1907" s="1" cm="1">
        <f t="array" ref="K1907">SUMPRODUCT(("Var_Cap"=[1]OUT_TransportEnergyCons!$B$4:$B$10000)*1,("-"=[1]OUT_TransportEnergyCons!$C$4:$C$10000)*1,ISNUMBER(SEARCH("T_C*pev*GSL*s4",[1]OUT_TransportEnergyCons!$A$4:$A$10000))*1,[1]OUT_TransportEnergyCons!I$4:I$10000)</f>
        <v>2.2974238925813512E-4</v>
      </c>
    </row>
    <row r="1908" spans="2:11" x14ac:dyDescent="0.35">
      <c r="B1908" s="5" t="str">
        <f t="shared" ref="B1908:B1971" si="1247">B1907</f>
        <v>SPS4</v>
      </c>
      <c r="C1908" s="5" t="str">
        <f t="shared" si="1245"/>
        <v>CH</v>
      </c>
      <c r="D1908" t="s">
        <v>1931</v>
      </c>
      <c r="E1908" t="str">
        <f t="shared" si="1246"/>
        <v>Million</v>
      </c>
      <c r="F1908" s="1" cm="1">
        <f t="array" ref="F1908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08" s="1" cm="1">
        <f t="array" ref="G1908">SUMPRODUCT(("Var_Cap"=[1]OUT_TransportEnergyCons!$B$4:$B$10000)*1,("-"=[1]OUT_TransportEnergyCons!$C$4:$C$10000)*1,ISNUMBER(SEARCH("T_C*pev*dsl*s1",[1]OUT_TransportEnergyCons!$A$4:$A$10000))*1,[1]OUT_TransportEnergyCons!E$4:E$10000)</f>
        <v>5.6607135969342998E-5</v>
      </c>
      <c r="H1908" s="1" cm="1">
        <f t="array" ref="H1908">SUMPRODUCT(("Var_Cap"=[1]OUT_TransportEnergyCons!$B$4:$B$10000)*1,("-"=[1]OUT_TransportEnergyCons!$C$4:$C$10000)*1,ISNUMBER(SEARCH("T_C*pev*dsl*s1",[1]OUT_TransportEnergyCons!$A$4:$A$10000))*1,[1]OUT_TransportEnergyCons!F$4:F$10000)</f>
        <v>1.1129263292574624E-4</v>
      </c>
      <c r="I1908" s="1" cm="1">
        <f t="array" ref="I1908">SUMPRODUCT(("Var_Cap"=[1]OUT_TransportEnergyCons!$B$4:$B$10000)*1,("-"=[1]OUT_TransportEnergyCons!$C$4:$C$10000)*1,ISNUMBER(SEARCH("T_C*pev*dsl*s1",[1]OUT_TransportEnergyCons!$A$4:$A$10000))*1,[1]OUT_TransportEnergyCons!G$4:G$10000)</f>
        <v>1.2582127791843902E-4</v>
      </c>
      <c r="J1908" s="1" cm="1">
        <f t="array" ref="J1908">SUMPRODUCT(("Var_Cap"=[1]OUT_TransportEnergyCons!$B$4:$B$10000)*1,("-"=[1]OUT_TransportEnergyCons!$C$4:$C$10000)*1,ISNUMBER(SEARCH("T_C*pev*dsl*s1",[1]OUT_TransportEnergyCons!$A$4:$A$10000))*1,[1]OUT_TransportEnergyCons!H$4:H$10000)</f>
        <v>1.2680734306829864E-4</v>
      </c>
      <c r="K1908" s="1" cm="1">
        <f t="array" ref="K1908">SUMPRODUCT(("Var_Cap"=[1]OUT_TransportEnergyCons!$B$4:$B$10000)*1,("-"=[1]OUT_TransportEnergyCons!$C$4:$C$10000)*1,ISNUMBER(SEARCH("T_C*pev*dsl*s1",[1]OUT_TransportEnergyCons!$A$4:$A$10000))*1,[1]OUT_TransportEnergyCons!I$4:I$10000)</f>
        <v>8.6940255626603684E-5</v>
      </c>
    </row>
    <row r="1909" spans="2:11" x14ac:dyDescent="0.35">
      <c r="B1909" s="5" t="str">
        <f t="shared" si="1247"/>
        <v>SPS4</v>
      </c>
      <c r="C1909" s="5" t="str">
        <f t="shared" si="1245"/>
        <v>CH</v>
      </c>
      <c r="D1909" t="s">
        <v>1932</v>
      </c>
      <c r="E1909" t="str">
        <f t="shared" si="1246"/>
        <v>Million</v>
      </c>
      <c r="F1909" s="1" cm="1">
        <f t="array" ref="F1909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09" s="1" cm="1">
        <f t="array" ref="G1909">SUMPRODUCT(("Var_Cap"=[1]OUT_TransportEnergyCons!$B$4:$B$10000)*1,("-"=[1]OUT_TransportEnergyCons!$C$4:$C$10000)*1,ISNUMBER(SEARCH("T_C*pev*dsl*s2",[1]OUT_TransportEnergyCons!$A$4:$A$10000))*1,[1]OUT_TransportEnergyCons!E$4:E$10000)</f>
        <v>3.5682179660657467E-5</v>
      </c>
      <c r="H1909" s="1" cm="1">
        <f t="array" ref="H1909">SUMPRODUCT(("Var_Cap"=[1]OUT_TransportEnergyCons!$B$4:$B$10000)*1,("-"=[1]OUT_TransportEnergyCons!$C$4:$C$10000)*1,ISNUMBER(SEARCH("T_C*pev*dsl*s2",[1]OUT_TransportEnergyCons!$A$4:$A$10000))*1,[1]OUT_TransportEnergyCons!F$4:F$10000)</f>
        <v>1.5222368034166701E-4</v>
      </c>
      <c r="I1909" s="1" cm="1">
        <f t="array" ref="I1909">SUMPRODUCT(("Var_Cap"=[1]OUT_TransportEnergyCons!$B$4:$B$10000)*1,("-"=[1]OUT_TransportEnergyCons!$C$4:$C$10000)*1,ISNUMBER(SEARCH("T_C*pev*dsl*s2",[1]OUT_TransportEnergyCons!$A$4:$A$10000))*1,[1]OUT_TransportEnergyCons!G$4:G$10000)</f>
        <v>2.1630935138285728E-4</v>
      </c>
      <c r="J1909" s="1" cm="1">
        <f t="array" ref="J1909">SUMPRODUCT(("Var_Cap"=[1]OUT_TransportEnergyCons!$B$4:$B$10000)*1,("-"=[1]OUT_TransportEnergyCons!$C$4:$C$10000)*1,ISNUMBER(SEARCH("T_C*pev*dsl*s2",[1]OUT_TransportEnergyCons!$A$4:$A$10000))*1,[1]OUT_TransportEnergyCons!H$4:H$10000)</f>
        <v>3.0683776677930348E-4</v>
      </c>
      <c r="K1909" s="1" cm="1">
        <f t="array" ref="K1909">SUMPRODUCT(("Var_Cap"=[1]OUT_TransportEnergyCons!$B$4:$B$10000)*1,("-"=[1]OUT_TransportEnergyCons!$C$4:$C$10000)*1,ISNUMBER(SEARCH("T_C*pev*dsl*s2",[1]OUT_TransportEnergyCons!$A$4:$A$10000))*1,[1]OUT_TransportEnergyCons!I$4:I$10000)</f>
        <v>1.8322048856524688E-4</v>
      </c>
    </row>
    <row r="1910" spans="2:11" x14ac:dyDescent="0.35">
      <c r="B1910" s="5" t="str">
        <f t="shared" si="1247"/>
        <v>SPS4</v>
      </c>
      <c r="C1910" s="5" t="str">
        <f t="shared" si="1245"/>
        <v>CH</v>
      </c>
      <c r="D1910" t="s">
        <v>1933</v>
      </c>
      <c r="E1910" t="str">
        <f t="shared" si="1246"/>
        <v>Million</v>
      </c>
      <c r="F1910" s="1" cm="1">
        <f t="array" ref="F1910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0" s="1" cm="1">
        <f t="array" ref="G1910">SUMPRODUCT(("Var_Cap"=[1]OUT_TransportEnergyCons!$B$4:$B$10000)*1,("-"=[1]OUT_TransportEnergyCons!$C$4:$C$10000)*1,ISNUMBER(SEARCH("T_C*pev*dsl*s3",[1]OUT_TransportEnergyCons!$A$4:$A$10000))*1,[1]OUT_TransportEnergyCons!E$4:E$10000)</f>
        <v>6.1132988291823188E-4</v>
      </c>
      <c r="H1910" s="1" cm="1">
        <f t="array" ref="H1910">SUMPRODUCT(("Var_Cap"=[1]OUT_TransportEnergyCons!$B$4:$B$10000)*1,("-"=[1]OUT_TransportEnergyCons!$C$4:$C$10000)*1,ISNUMBER(SEARCH("T_C*pev*dsl*s3",[1]OUT_TransportEnergyCons!$A$4:$A$10000))*1,[1]OUT_TransportEnergyCons!F$4:F$10000)</f>
        <v>6.8213859108227748E-2</v>
      </c>
      <c r="I1910" s="1" cm="1">
        <f t="array" ref="I1910">SUMPRODUCT(("Var_Cap"=[1]OUT_TransportEnergyCons!$B$4:$B$10000)*1,("-"=[1]OUT_TransportEnergyCons!$C$4:$C$10000)*1,ISNUMBER(SEARCH("T_C*pev*dsl*s3",[1]OUT_TransportEnergyCons!$A$4:$A$10000))*1,[1]OUT_TransportEnergyCons!G$4:G$10000)</f>
        <v>0.34043789569941213</v>
      </c>
      <c r="J1910" s="1" cm="1">
        <f t="array" ref="J1910">SUMPRODUCT(("Var_Cap"=[1]OUT_TransportEnergyCons!$B$4:$B$10000)*1,("-"=[1]OUT_TransportEnergyCons!$C$4:$C$10000)*1,ISNUMBER(SEARCH("T_C*pev*dsl*s3",[1]OUT_TransportEnergyCons!$A$4:$A$10000))*1,[1]OUT_TransportEnergyCons!H$4:H$10000)</f>
        <v>0.75071218548094054</v>
      </c>
      <c r="K1910" s="1" cm="1">
        <f t="array" ref="K1910">SUMPRODUCT(("Var_Cap"=[1]OUT_TransportEnergyCons!$B$4:$B$10000)*1,("-"=[1]OUT_TransportEnergyCons!$C$4:$C$10000)*1,ISNUMBER(SEARCH("T_C*pev*dsl*s3",[1]OUT_TransportEnergyCons!$A$4:$A$10000))*1,[1]OUT_TransportEnergyCons!I$4:I$10000)</f>
        <v>0.60706411771585655</v>
      </c>
    </row>
    <row r="1911" spans="2:11" x14ac:dyDescent="0.35">
      <c r="B1911" s="5" t="str">
        <f t="shared" si="1247"/>
        <v>SPS4</v>
      </c>
      <c r="C1911" s="5" t="str">
        <f t="shared" si="1245"/>
        <v>CH</v>
      </c>
      <c r="D1911" t="s">
        <v>1934</v>
      </c>
      <c r="E1911" t="str">
        <f t="shared" si="1246"/>
        <v>Million</v>
      </c>
      <c r="F1911" s="1" cm="1">
        <f t="array" ref="F1911">SUMPRODUCT(("Var_Cap"=[1]OUT_TransportEnergyCons!$B$4:$B$10000)*1,("-"=[1]OUT_TransportEnergyCons!$C$4:$C$10000)*1,ISNUMBER(SEARCH("T_C*pev*dsl*s4",[1]OUT_TransportEnergyCons!$A$4:$A$10000))*1,[1]OUT_TransportEnergyCons!D$4:D$10000)</f>
        <v>2.5880238631564856E-4</v>
      </c>
      <c r="G1911" s="1" cm="1">
        <f t="array" ref="G1911">SUMPRODUCT(("Var_Cap"=[1]OUT_TransportEnergyCons!$B$4:$B$10000)*1,("-"=[1]OUT_TransportEnergyCons!$C$4:$C$10000)*1,ISNUMBER(SEARCH("T_C*pev*dsl*s4",[1]OUT_TransportEnergyCons!$A$4:$A$10000))*1,[1]OUT_TransportEnergyCons!E$4:E$10000)</f>
        <v>8.1669660516566194E-4</v>
      </c>
      <c r="H1911" s="1" cm="1">
        <f t="array" ref="H1911">SUMPRODUCT(("Var_Cap"=[1]OUT_TransportEnergyCons!$B$4:$B$10000)*1,("-"=[1]OUT_TransportEnergyCons!$C$4:$C$10000)*1,ISNUMBER(SEARCH("T_C*pev*dsl*s4",[1]OUT_TransportEnergyCons!$A$4:$A$10000))*1,[1]OUT_TransportEnergyCons!F$4:F$10000)</f>
        <v>9.428636493527911E-4</v>
      </c>
      <c r="I1911" s="1" cm="1">
        <f t="array" ref="I1911">SUMPRODUCT(("Var_Cap"=[1]OUT_TransportEnergyCons!$B$4:$B$10000)*1,("-"=[1]OUT_TransportEnergyCons!$C$4:$C$10000)*1,ISNUMBER(SEARCH("T_C*pev*dsl*s4",[1]OUT_TransportEnergyCons!$A$4:$A$10000))*1,[1]OUT_TransportEnergyCons!G$4:G$10000)</f>
        <v>8.9414335285570691E-4</v>
      </c>
      <c r="J1911" s="1" cm="1">
        <f t="array" ref="J1911">SUMPRODUCT(("Var_Cap"=[1]OUT_TransportEnergyCons!$B$4:$B$10000)*1,("-"=[1]OUT_TransportEnergyCons!$C$4:$C$10000)*1,ISNUMBER(SEARCH("T_C*pev*dsl*s4",[1]OUT_TransportEnergyCons!$A$4:$A$10000))*1,[1]OUT_TransportEnergyCons!H$4:H$10000)</f>
        <v>3.9823333039730197E-4</v>
      </c>
      <c r="K1911" s="1" cm="1">
        <f t="array" ref="K1911">SUMPRODUCT(("Var_Cap"=[1]OUT_TransportEnergyCons!$B$4:$B$10000)*1,("-"=[1]OUT_TransportEnergyCons!$C$4:$C$10000)*1,ISNUMBER(SEARCH("T_C*pev*dsl*s4",[1]OUT_TransportEnergyCons!$A$4:$A$10000))*1,[1]OUT_TransportEnergyCons!I$4:I$10000)</f>
        <v>2.410708096648008E-4</v>
      </c>
    </row>
    <row r="1912" spans="2:11" x14ac:dyDescent="0.35">
      <c r="B1912" s="5" t="str">
        <f t="shared" si="1247"/>
        <v>SPS4</v>
      </c>
      <c r="C1912" s="5" t="str">
        <f t="shared" si="1245"/>
        <v>CH</v>
      </c>
      <c r="D1912" t="s">
        <v>1935</v>
      </c>
      <c r="E1912" t="str">
        <f t="shared" si="1246"/>
        <v>Million</v>
      </c>
      <c r="F1912" s="1" cm="1">
        <f t="array" ref="F1912">SUMPRODUCT(("Var_Cap"=[1]OUT_TransportEnergyCons!$B$4:$B$10000)*1,("-"=[1]OUT_TransportEnergyCons!$C$4:$C$10000)*1,ISNUMBER(SEARCH("T_C*h2o*s1",[1]OUT_TransportEnergyCons!$A$4:$A$10000))*1,[1]OUT_TransportEnergyCons!D$4:D$10000)</f>
        <v>0</v>
      </c>
      <c r="G1912" s="1" cm="1">
        <f t="array" ref="G1912">SUMPRODUCT(("Var_Cap"=[1]OUT_TransportEnergyCons!$B$4:$B$10000)*1,("-"=[1]OUT_TransportEnergyCons!$C$4:$C$10000)*1,ISNUMBER(SEARCH("T_C*h2o*s1",[1]OUT_TransportEnergyCons!$A$4:$A$10000))*1,[1]OUT_TransportEnergyCons!E$4:E$10000)</f>
        <v>2.0975991315180301E-6</v>
      </c>
      <c r="H1912" s="1" cm="1">
        <f t="array" ref="H1912">SUMPRODUCT(("Var_Cap"=[1]OUT_TransportEnergyCons!$B$4:$B$10000)*1,("-"=[1]OUT_TransportEnergyCons!$C$4:$C$10000)*1,ISNUMBER(SEARCH("T_C*h2o*s1",[1]OUT_TransportEnergyCons!$A$4:$A$10000))*1,[1]OUT_TransportEnergyCons!F$4:F$10000)</f>
        <v>3.67359462207888E-6</v>
      </c>
      <c r="I1912" s="1" cm="1">
        <f t="array" ref="I1912">SUMPRODUCT(("Var_Cap"=[1]OUT_TransportEnergyCons!$B$4:$B$10000)*1,("-"=[1]OUT_TransportEnergyCons!$C$4:$C$10000)*1,ISNUMBER(SEARCH("T_C*h2o*s1",[1]OUT_TransportEnergyCons!$A$4:$A$10000))*1,[1]OUT_TransportEnergyCons!G$4:G$10000)</f>
        <v>2.1992347521503499E-6</v>
      </c>
      <c r="J1912" s="1" cm="1">
        <f t="array" ref="J1912">SUMPRODUCT(("Var_Cap"=[1]OUT_TransportEnergyCons!$B$4:$B$10000)*1,("-"=[1]OUT_TransportEnergyCons!$C$4:$C$10000)*1,ISNUMBER(SEARCH("T_C*h2o*s1",[1]OUT_TransportEnergyCons!$A$4:$A$10000))*1,[1]OUT_TransportEnergyCons!H$4:H$10000)</f>
        <v>3.7494068121215465E-6</v>
      </c>
      <c r="K1912" s="1" cm="1">
        <f t="array" ref="K1912">SUMPRODUCT(("Var_Cap"=[1]OUT_TransportEnergyCons!$B$4:$B$10000)*1,("-"=[1]OUT_TransportEnergyCons!$C$4:$C$10000)*1,ISNUMBER(SEARCH("T_C*h2o*s1",[1]OUT_TransportEnergyCons!$A$4:$A$10000))*1,[1]OUT_TransportEnergyCons!I$4:I$10000)</f>
        <v>3.14692074025465E-6</v>
      </c>
    </row>
    <row r="1913" spans="2:11" x14ac:dyDescent="0.35">
      <c r="B1913" s="5" t="str">
        <f t="shared" si="1247"/>
        <v>SPS4</v>
      </c>
      <c r="C1913" s="5" t="str">
        <f t="shared" si="1245"/>
        <v>CH</v>
      </c>
      <c r="D1913" t="s">
        <v>1936</v>
      </c>
      <c r="E1913" t="str">
        <f t="shared" si="1246"/>
        <v>Million</v>
      </c>
      <c r="F1913" s="1" cm="1">
        <f t="array" ref="F1913">SUMPRODUCT(("Var_Cap"=[1]OUT_TransportEnergyCons!$B$4:$B$10000)*1,("-"=[1]OUT_TransportEnergyCons!$C$4:$C$10000)*1,ISNUMBER(SEARCH("T_C*h2o*s2",[1]OUT_TransportEnergyCons!$A$4:$A$10000))*1,[1]OUT_TransportEnergyCons!D$4:D$10000)</f>
        <v>6.126097450199857E-6</v>
      </c>
      <c r="G1913" s="1" cm="1">
        <f t="array" ref="G1913">SUMPRODUCT(("Var_Cap"=[1]OUT_TransportEnergyCons!$B$4:$B$10000)*1,("-"=[1]OUT_TransportEnergyCons!$C$4:$C$10000)*1,ISNUMBER(SEARCH("T_C*h2o*s2",[1]OUT_TransportEnergyCons!$A$4:$A$10000))*1,[1]OUT_TransportEnergyCons!E$4:E$10000)</f>
        <v>7.5651567156567104E-6</v>
      </c>
      <c r="H1913" s="1" cm="1">
        <f t="array" ref="H1913">SUMPRODUCT(("Var_Cap"=[1]OUT_TransportEnergyCons!$B$4:$B$10000)*1,("-"=[1]OUT_TransportEnergyCons!$C$4:$C$10000)*1,ISNUMBER(SEARCH("T_C*h2o*s2",[1]OUT_TransportEnergyCons!$A$4:$A$10000))*1,[1]OUT_TransportEnergyCons!F$4:F$10000)</f>
        <v>8.6159049999142806E-6</v>
      </c>
      <c r="I1913" s="1" cm="1">
        <f t="array" ref="I1913">SUMPRODUCT(("Var_Cap"=[1]OUT_TransportEnergyCons!$B$4:$B$10000)*1,("-"=[1]OUT_TransportEnergyCons!$C$4:$C$10000)*1,ISNUMBER(SEARCH("T_C*h2o*s2",[1]OUT_TransportEnergyCons!$A$4:$A$10000))*1,[1]OUT_TransportEnergyCons!G$4:G$10000)</f>
        <v>2.9975981370157686E-6</v>
      </c>
      <c r="J1913" s="1" cm="1">
        <f t="array" ref="J1913">SUMPRODUCT(("Var_Cap"=[1]OUT_TransportEnergyCons!$B$4:$B$10000)*1,("-"=[1]OUT_TransportEnergyCons!$C$4:$C$10000)*1,ISNUMBER(SEARCH("T_C*h2o*s2",[1]OUT_TransportEnergyCons!$A$4:$A$10000))*1,[1]OUT_TransportEnergyCons!H$4:H$10000)</f>
        <v>3.3077068946312893E-6</v>
      </c>
      <c r="K1913" s="1" cm="1">
        <f t="array" ref="K1913">SUMPRODUCT(("Var_Cap"=[1]OUT_TransportEnergyCons!$B$4:$B$10000)*1,("-"=[1]OUT_TransportEnergyCons!$C$4:$C$10000)*1,ISNUMBER(SEARCH("T_C*h2o*s2",[1]OUT_TransportEnergyCons!$A$4:$A$10000))*1,[1]OUT_TransportEnergyCons!I$4:I$10000)</f>
        <v>3.0565497020257599E-6</v>
      </c>
    </row>
    <row r="1914" spans="2:11" x14ac:dyDescent="0.35">
      <c r="B1914" s="5" t="str">
        <f t="shared" si="1247"/>
        <v>SPS4</v>
      </c>
      <c r="C1914" s="5" t="str">
        <f t="shared" si="1245"/>
        <v>CH</v>
      </c>
      <c r="D1914" t="s">
        <v>1937</v>
      </c>
      <c r="E1914" t="str">
        <f t="shared" si="1246"/>
        <v>Million</v>
      </c>
      <c r="F1914" s="1" cm="1">
        <f t="array" ref="F1914">SUMPRODUCT(("Var_Cap"=[1]OUT_TransportEnergyCons!$B$4:$B$10000)*1,("-"=[1]OUT_TransportEnergyCons!$C$4:$C$10000)*1,ISNUMBER(SEARCH("T_C*h2o*s3",[1]OUT_TransportEnergyCons!$A$4:$A$10000))*1,[1]OUT_TransportEnergyCons!D$4:D$10000)</f>
        <v>5.3432148729138271E-5</v>
      </c>
      <c r="G1914" s="1" cm="1">
        <f t="array" ref="G1914">SUMPRODUCT(("Var_Cap"=[1]OUT_TransportEnergyCons!$B$4:$B$10000)*1,("-"=[1]OUT_TransportEnergyCons!$C$4:$C$10000)*1,ISNUMBER(SEARCH("T_C*h2o*s3",[1]OUT_TransportEnergyCons!$A$4:$A$10000))*1,[1]OUT_TransportEnergyCons!E$4:E$10000)</f>
        <v>1.0907025789045575E-4</v>
      </c>
      <c r="H1914" s="1" cm="1">
        <f t="array" ref="H1914">SUMPRODUCT(("Var_Cap"=[1]OUT_TransportEnergyCons!$B$4:$B$10000)*1,("-"=[1]OUT_TransportEnergyCons!$C$4:$C$10000)*1,ISNUMBER(SEARCH("T_C*h2o*s3",[1]OUT_TransportEnergyCons!$A$4:$A$10000))*1,[1]OUT_TransportEnergyCons!F$4:F$10000)</f>
        <v>1.0461462522357408E-4</v>
      </c>
      <c r="I1914" s="1" cm="1">
        <f t="array" ref="I1914">SUMPRODUCT(("Var_Cap"=[1]OUT_TransportEnergyCons!$B$4:$B$10000)*1,("-"=[1]OUT_TransportEnergyCons!$C$4:$C$10000)*1,ISNUMBER(SEARCH("T_C*h2o*s3",[1]OUT_TransportEnergyCons!$A$4:$A$10000))*1,[1]OUT_TransportEnergyCons!G$4:G$10000)</f>
        <v>5.8779726264681465E-6</v>
      </c>
      <c r="J1914" s="1" cm="1">
        <f t="array" ref="J1914">SUMPRODUCT(("Var_Cap"=[1]OUT_TransportEnergyCons!$B$4:$B$10000)*1,("-"=[1]OUT_TransportEnergyCons!$C$4:$C$10000)*1,ISNUMBER(SEARCH("T_C*h2o*s3",[1]OUT_TransportEnergyCons!$A$4:$A$10000))*1,[1]OUT_TransportEnergyCons!H$4:H$10000)</f>
        <v>2.7145797520961502E-6</v>
      </c>
      <c r="K1914" s="1" cm="1">
        <f t="array" ref="K1914">SUMPRODUCT(("Var_Cap"=[1]OUT_TransportEnergyCons!$B$4:$B$10000)*1,("-"=[1]OUT_TransportEnergyCons!$C$4:$C$10000)*1,ISNUMBER(SEARCH("T_C*h2o*s3",[1]OUT_TransportEnergyCons!$A$4:$A$10000))*1,[1]OUT_TransportEnergyCons!I$4:I$10000)</f>
        <v>2.8671788617584101E-6</v>
      </c>
    </row>
    <row r="1915" spans="2:11" x14ac:dyDescent="0.35">
      <c r="B1915" s="5" t="str">
        <f t="shared" si="1247"/>
        <v>SPS4</v>
      </c>
      <c r="C1915" s="5" t="str">
        <f t="shared" si="1245"/>
        <v>CH</v>
      </c>
      <c r="D1915" t="s">
        <v>1938</v>
      </c>
      <c r="E1915" t="str">
        <f t="shared" si="1246"/>
        <v>Million</v>
      </c>
      <c r="F1915" s="1" cm="1">
        <f t="array" ref="F1915">SUMPRODUCT(("Var_Cap"=[1]OUT_TransportEnergyCons!$B$4:$B$10000)*1,("-"=[1]OUT_TransportEnergyCons!$C$4:$C$10000)*1,ISNUMBER(SEARCH("T_C*h2o*s4",[1]OUT_TransportEnergyCons!$A$4:$A$10000))*1,[1]OUT_TransportEnergyCons!D$4:D$10000)</f>
        <v>0</v>
      </c>
      <c r="G1915" s="1" cm="1">
        <f t="array" ref="G1915">SUMPRODUCT(("Var_Cap"=[1]OUT_TransportEnergyCons!$B$4:$B$10000)*1,("-"=[1]OUT_TransportEnergyCons!$C$4:$C$10000)*1,ISNUMBER(SEARCH("T_C*h2o*s4",[1]OUT_TransportEnergyCons!$A$4:$A$10000))*1,[1]OUT_TransportEnergyCons!E$4:E$10000)</f>
        <v>1.36333967494818E-6</v>
      </c>
      <c r="H1915" s="1" cm="1">
        <f t="array" ref="H1915">SUMPRODUCT(("Var_Cap"=[1]OUT_TransportEnergyCons!$B$4:$B$10000)*1,("-"=[1]OUT_TransportEnergyCons!$C$4:$C$10000)*1,ISNUMBER(SEARCH("T_C*h2o*s4",[1]OUT_TransportEnergyCons!$A$4:$A$10000))*1,[1]OUT_TransportEnergyCons!F$4:F$10000)</f>
        <v>2.32071435340243E-6</v>
      </c>
      <c r="I1915" s="1" cm="1">
        <f t="array" ref="I1915">SUMPRODUCT(("Var_Cap"=[1]OUT_TransportEnergyCons!$B$4:$B$10000)*1,("-"=[1]OUT_TransportEnergyCons!$C$4:$C$10000)*1,ISNUMBER(SEARCH("T_C*h2o*s4",[1]OUT_TransportEnergyCons!$A$4:$A$10000))*1,[1]OUT_TransportEnergyCons!G$4:G$10000)</f>
        <v>2.2490540076015051E-6</v>
      </c>
      <c r="J1915" s="1" cm="1">
        <f t="array" ref="J1915">SUMPRODUCT(("Var_Cap"=[1]OUT_TransportEnergyCons!$B$4:$B$10000)*1,("-"=[1]OUT_TransportEnergyCons!$C$4:$C$10000)*1,ISNUMBER(SEARCH("T_C*h2o*s4",[1]OUT_TransportEnergyCons!$A$4:$A$10000))*1,[1]OUT_TransportEnergyCons!H$4:H$10000)</f>
        <v>3.4502207405795445E-6</v>
      </c>
      <c r="K1915" s="1" cm="1">
        <f t="array" ref="K1915">SUMPRODUCT(("Var_Cap"=[1]OUT_TransportEnergyCons!$B$4:$B$10000)*1,("-"=[1]OUT_TransportEnergyCons!$C$4:$C$10000)*1,ISNUMBER(SEARCH("T_C*h2o*s4",[1]OUT_TransportEnergyCons!$A$4:$A$10000))*1,[1]OUT_TransportEnergyCons!I$4:I$10000)</f>
        <v>3.9394667543261996E-6</v>
      </c>
    </row>
    <row r="1916" spans="2:11" x14ac:dyDescent="0.35">
      <c r="B1916" s="5" t="str">
        <f t="shared" si="1247"/>
        <v>SPS4</v>
      </c>
      <c r="C1916" s="5" t="str">
        <f t="shared" si="1245"/>
        <v>CH</v>
      </c>
      <c r="D1916" t="s">
        <v>1939</v>
      </c>
      <c r="E1916" t="str">
        <f t="shared" si="1246"/>
        <v>Million</v>
      </c>
      <c r="F1916" s="1" cm="1">
        <f t="array" ref="F1916">SUMPRODUCT(("Var_Cap"=[1]OUT_TransportEnergyCons!$B$4:$B$10000)*1,("-"=[1]OUT_TransportEnergyCons!$C$4:$C$10000)*1,ISNUMBER(SEARCH("T_C*hy*GSL*ext",[1]OUT_TransportEnergyCons!$A$4:$A$10000))*1,[1]OUT_TransportEnergyCons!D$4:D$10000)</f>
        <v>6.5841999999999998E-2</v>
      </c>
      <c r="G1916" s="1" cm="1">
        <f t="array" ref="G1916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16" s="1" cm="1">
        <f t="array" ref="H1916">SUMPRODUCT(("Var_Cap"=[1]OUT_TransportEnergyCons!$B$4:$B$10000)*1,("-"=[1]OUT_TransportEnergyCons!$C$4:$C$10000)*1,ISNUMBER(SEARCH("T_C*hy*GSL*ext",[1]OUT_TransportEnergyCons!$A$4:$A$10000))*1,[1]OUT_TransportEnergyCons!F$4:F$10000)</f>
        <v>4.3894642763912285E-2</v>
      </c>
      <c r="I1916" s="1" cm="1">
        <f t="array" ref="I1916">SUMPRODUCT(("Var_Cap"=[1]OUT_TransportEnergyCons!$B$4:$B$10000)*1,("-"=[1]OUT_TransportEnergyCons!$C$4:$C$10000)*1,ISNUMBER(SEARCH("T_C*hy*GSL*ext",[1]OUT_TransportEnergyCons!$A$4:$A$10000))*1,[1]OUT_TransportEnergyCons!G$4:G$10000)</f>
        <v>2.1947320747668909E-2</v>
      </c>
      <c r="J1916" s="1" cm="1">
        <f t="array" ref="J1916">SUMPRODUCT(("Var_Cap"=[1]OUT_TransportEnergyCons!$B$4:$B$10000)*1,("-"=[1]OUT_TransportEnergyCons!$C$4:$C$10000)*1,ISNUMBER(SEARCH("T_C*hy*GSL*ext",[1]OUT_TransportEnergyCons!$A$4:$A$10000))*1,[1]OUT_TransportEnergyCons!H$4:H$10000)</f>
        <v>0</v>
      </c>
      <c r="K1916" s="1" cm="1">
        <f t="array" ref="K1916">SUMPRODUCT(("Var_Cap"=[1]OUT_TransportEnergyCons!$B$4:$B$10000)*1,("-"=[1]OUT_TransportEnergyCons!$C$4:$C$10000)*1,ISNUMBER(SEARCH("T_C*hy*GSL*ext",[1]OUT_TransportEnergyCons!$A$4:$A$10000))*1,[1]OUT_TransportEnergyCons!I$4:I$10000)</f>
        <v>0</v>
      </c>
    </row>
    <row r="1917" spans="2:11" x14ac:dyDescent="0.35">
      <c r="B1917" s="5" t="str">
        <f t="shared" si="1247"/>
        <v>SPS4</v>
      </c>
      <c r="C1917" s="5" t="str">
        <f t="shared" si="1245"/>
        <v>CH</v>
      </c>
      <c r="D1917" t="s">
        <v>1940</v>
      </c>
      <c r="E1917" t="str">
        <f t="shared" si="1246"/>
        <v>Million</v>
      </c>
      <c r="F1917" s="1" cm="1">
        <f t="array" ref="F1917">SUMPRODUCT(("Var_Cap"=[1]OUT_TransportEnergyCons!$B$4:$B$10000)*1,("-"=[1]OUT_TransportEnergyCons!$C$4:$C$10000)*1,ISNUMBER(SEARCH("T_C*hy*GSL*s1",[1]OUT_TransportEnergyCons!$A$4:$A$10000))*1,[1]OUT_TransportEnergyCons!D$4:D$10000)</f>
        <v>5.6686589928979722E-3</v>
      </c>
      <c r="G1917" s="1" cm="1">
        <f t="array" ref="G1917">SUMPRODUCT(("Var_Cap"=[1]OUT_TransportEnergyCons!$B$4:$B$10000)*1,("-"=[1]OUT_TransportEnergyCons!$C$4:$C$10000)*1,ISNUMBER(SEARCH("T_C*hy*GSL*s1",[1]OUT_TransportEnergyCons!$A$4:$A$10000))*1,[1]OUT_TransportEnergyCons!E$4:E$10000)</f>
        <v>6.7338122803221627E-3</v>
      </c>
      <c r="H1917" s="1" cm="1">
        <f t="array" ref="H1917">SUMPRODUCT(("Var_Cap"=[1]OUT_TransportEnergyCons!$B$4:$B$10000)*1,("-"=[1]OUT_TransportEnergyCons!$C$4:$C$10000)*1,ISNUMBER(SEARCH("T_C*hy*GSL*s1",[1]OUT_TransportEnergyCons!$A$4:$A$10000))*1,[1]OUT_TransportEnergyCons!F$4:F$10000)</f>
        <v>2.4715740331578709E-2</v>
      </c>
      <c r="I1917" s="1" cm="1">
        <f t="array" ref="I1917">SUMPRODUCT(("Var_Cap"=[1]OUT_TransportEnergyCons!$B$4:$B$10000)*1,("-"=[1]OUT_TransportEnergyCons!$C$4:$C$10000)*1,ISNUMBER(SEARCH("T_C*hy*GSL*s1",[1]OUT_TransportEnergyCons!$A$4:$A$10000))*1,[1]OUT_TransportEnergyCons!G$4:G$10000)</f>
        <v>2.1424153345029867E-2</v>
      </c>
      <c r="J1917" s="1" cm="1">
        <f t="array" ref="J1917">SUMPRODUCT(("Var_Cap"=[1]OUT_TransportEnergyCons!$B$4:$B$10000)*1,("-"=[1]OUT_TransportEnergyCons!$C$4:$C$10000)*1,ISNUMBER(SEARCH("T_C*hy*GSL*s1",[1]OUT_TransportEnergyCons!$A$4:$A$10000))*1,[1]OUT_TransportEnergyCons!H$4:H$10000)</f>
        <v>0.12133339945896313</v>
      </c>
      <c r="K1917" s="1" cm="1">
        <f t="array" ref="K1917">SUMPRODUCT(("Var_Cap"=[1]OUT_TransportEnergyCons!$B$4:$B$10000)*1,("-"=[1]OUT_TransportEnergyCons!$C$4:$C$10000)*1,ISNUMBER(SEARCH("T_C*hy*GSL*s1",[1]OUT_TransportEnergyCons!$A$4:$A$10000))*1,[1]OUT_TransportEnergyCons!I$4:I$10000)</f>
        <v>5.4203111031473239E-2</v>
      </c>
    </row>
    <row r="1918" spans="2:11" x14ac:dyDescent="0.35">
      <c r="B1918" s="5" t="str">
        <f t="shared" si="1247"/>
        <v>SPS4</v>
      </c>
      <c r="C1918" s="5" t="str">
        <f t="shared" si="1245"/>
        <v>CH</v>
      </c>
      <c r="D1918" t="s">
        <v>1941</v>
      </c>
      <c r="E1918" t="str">
        <f t="shared" si="1246"/>
        <v>Million</v>
      </c>
      <c r="F1918" s="1" cm="1">
        <f t="array" ref="F1918">SUMPRODUCT(("Var_Cap"=[1]OUT_TransportEnergyCons!$B$4:$B$10000)*1,("-"=[1]OUT_TransportEnergyCons!$C$4:$C$10000)*1,ISNUMBER(SEARCH("T_C*hy*GSL*s2",[1]OUT_TransportEnergyCons!$A$4:$A$10000))*1,[1]OUT_TransportEnergyCons!D$4:D$10000)</f>
        <v>1.7226428470015053E-2</v>
      </c>
      <c r="G1918" s="1" cm="1">
        <f t="array" ref="G1918">SUMPRODUCT(("Var_Cap"=[1]OUT_TransportEnergyCons!$B$4:$B$10000)*1,("-"=[1]OUT_TransportEnergyCons!$C$4:$C$10000)*1,ISNUMBER(SEARCH("T_C*hy*GSL*s2",[1]OUT_TransportEnergyCons!$A$4:$A$10000))*1,[1]OUT_TransportEnergyCons!E$4:E$10000)</f>
        <v>3.7846332091672791E-2</v>
      </c>
      <c r="H1918" s="1" cm="1">
        <f t="array" ref="H1918">SUMPRODUCT(("Var_Cap"=[1]OUT_TransportEnergyCons!$B$4:$B$10000)*1,("-"=[1]OUT_TransportEnergyCons!$C$4:$C$10000)*1,ISNUMBER(SEARCH("T_C*hy*GSL*s2",[1]OUT_TransportEnergyCons!$A$4:$A$10000))*1,[1]OUT_TransportEnergyCons!F$4:F$10000)</f>
        <v>8.9117189707662151E-2</v>
      </c>
      <c r="I1918" s="1" cm="1">
        <f t="array" ref="I1918">SUMPRODUCT(("Var_Cap"=[1]OUT_TransportEnergyCons!$B$4:$B$10000)*1,("-"=[1]OUT_TransportEnergyCons!$C$4:$C$10000)*1,ISNUMBER(SEARCH("T_C*hy*GSL*s2",[1]OUT_TransportEnergyCons!$A$4:$A$10000))*1,[1]OUT_TransportEnergyCons!G$4:G$10000)</f>
        <v>7.5721078394544908E-2</v>
      </c>
      <c r="J1918" s="1" cm="1">
        <f t="array" ref="J1918">SUMPRODUCT(("Var_Cap"=[1]OUT_TransportEnergyCons!$B$4:$B$10000)*1,("-"=[1]OUT_TransportEnergyCons!$C$4:$C$10000)*1,ISNUMBER(SEARCH("T_C*hy*GSL*s2",[1]OUT_TransportEnergyCons!$A$4:$A$10000))*1,[1]OUT_TransportEnergyCons!H$4:H$10000)</f>
        <v>8.4338657600651012E-2</v>
      </c>
      <c r="K1918" s="1" cm="1">
        <f t="array" ref="K1918">SUMPRODUCT(("Var_Cap"=[1]OUT_TransportEnergyCons!$B$4:$B$10000)*1,("-"=[1]OUT_TransportEnergyCons!$C$4:$C$10000)*1,ISNUMBER(SEARCH("T_C*hy*GSL*s2",[1]OUT_TransportEnergyCons!$A$4:$A$10000))*1,[1]OUT_TransportEnergyCons!I$4:I$10000)</f>
        <v>0.12553946465257534</v>
      </c>
    </row>
    <row r="1919" spans="2:11" x14ac:dyDescent="0.35">
      <c r="B1919" s="5" t="str">
        <f t="shared" si="1247"/>
        <v>SPS4</v>
      </c>
      <c r="C1919" s="5" t="str">
        <f t="shared" si="1245"/>
        <v>CH</v>
      </c>
      <c r="D1919" t="s">
        <v>1942</v>
      </c>
      <c r="E1919" t="str">
        <f t="shared" si="1246"/>
        <v>Million</v>
      </c>
      <c r="F1919" s="1" cm="1">
        <f t="array" ref="F1919">SUMPRODUCT(("Var_Cap"=[1]OUT_TransportEnergyCons!$B$4:$B$10000)*1,("-"=[1]OUT_TransportEnergyCons!$C$4:$C$10000)*1,ISNUMBER(SEARCH("T_C*hy*GSL*s3",[1]OUT_TransportEnergyCons!$A$4:$A$10000))*1,[1]OUT_TransportEnergyCons!D$4:D$10000)</f>
        <v>1.4248154662404878E-2</v>
      </c>
      <c r="G1919" s="1" cm="1">
        <f t="array" ref="G1919">SUMPRODUCT(("Var_Cap"=[1]OUT_TransportEnergyCons!$B$4:$B$10000)*1,("-"=[1]OUT_TransportEnergyCons!$C$4:$C$10000)*1,ISNUMBER(SEARCH("T_C*hy*GSL*s3",[1]OUT_TransportEnergyCons!$A$4:$A$10000))*1,[1]OUT_TransportEnergyCons!E$4:E$10000)</f>
        <v>0.20897569267833535</v>
      </c>
      <c r="H1919" s="1" cm="1">
        <f t="array" ref="H1919">SUMPRODUCT(("Var_Cap"=[1]OUT_TransportEnergyCons!$B$4:$B$10000)*1,("-"=[1]OUT_TransportEnergyCons!$C$4:$C$10000)*1,ISNUMBER(SEARCH("T_C*hy*GSL*s3",[1]OUT_TransportEnergyCons!$A$4:$A$10000))*1,[1]OUT_TransportEnergyCons!F$4:F$10000)</f>
        <v>0.19749604777159241</v>
      </c>
      <c r="I1919" s="1" cm="1">
        <f t="array" ref="I1919">SUMPRODUCT(("Var_Cap"=[1]OUT_TransportEnergyCons!$B$4:$B$10000)*1,("-"=[1]OUT_TransportEnergyCons!$C$4:$C$10000)*1,ISNUMBER(SEARCH("T_C*hy*GSL*s3",[1]OUT_TransportEnergyCons!$A$4:$A$10000))*1,[1]OUT_TransportEnergyCons!G$4:G$10000)</f>
        <v>0.15907621884871709</v>
      </c>
      <c r="J1919" s="1" cm="1">
        <f t="array" ref="J1919">SUMPRODUCT(("Var_Cap"=[1]OUT_TransportEnergyCons!$B$4:$B$10000)*1,("-"=[1]OUT_TransportEnergyCons!$C$4:$C$10000)*1,ISNUMBER(SEARCH("T_C*hy*GSL*s3",[1]OUT_TransportEnergyCons!$A$4:$A$10000))*1,[1]OUT_TransportEnergyCons!H$4:H$10000)</f>
        <v>1.6284874872874366E-4</v>
      </c>
      <c r="K1919" s="1" cm="1">
        <f t="array" ref="K1919">SUMPRODUCT(("Var_Cap"=[1]OUT_TransportEnergyCons!$B$4:$B$10000)*1,("-"=[1]OUT_TransportEnergyCons!$C$4:$C$10000)*1,ISNUMBER(SEARCH("T_C*hy*GSL*s3",[1]OUT_TransportEnergyCons!$A$4:$A$10000))*1,[1]OUT_TransportEnergyCons!I$4:I$10000)</f>
        <v>8.150137762986571E-5</v>
      </c>
    </row>
    <row r="1920" spans="2:11" x14ac:dyDescent="0.35">
      <c r="B1920" s="5" t="str">
        <f t="shared" si="1247"/>
        <v>SPS4</v>
      </c>
      <c r="C1920" s="5" t="str">
        <f t="shared" si="1245"/>
        <v>CH</v>
      </c>
      <c r="D1920" t="s">
        <v>1943</v>
      </c>
      <c r="E1920" t="str">
        <f t="shared" si="1246"/>
        <v>Million</v>
      </c>
      <c r="F1920" s="1" cm="1">
        <f t="array" ref="F1920">SUMPRODUCT(("Var_Cap"=[1]OUT_TransportEnergyCons!$B$4:$B$10000)*1,("-"=[1]OUT_TransportEnergyCons!$C$4:$C$10000)*1,ISNUMBER(SEARCH("T_C*hy*GSL*s4",[1]OUT_TransportEnergyCons!$A$4:$A$10000))*1,[1]OUT_TransportEnergyCons!D$4:D$10000)</f>
        <v>8.3198749568996252E-3</v>
      </c>
      <c r="G1920" s="1" cm="1">
        <f t="array" ref="G1920">SUMPRODUCT(("Var_Cap"=[1]OUT_TransportEnergyCons!$B$4:$B$10000)*1,("-"=[1]OUT_TransportEnergyCons!$C$4:$C$10000)*1,ISNUMBER(SEARCH("T_C*hy*GSL*s4",[1]OUT_TransportEnergyCons!$A$4:$A$10000))*1,[1]OUT_TransportEnergyCons!E$4:E$10000)</f>
        <v>1.4185948278877834E-2</v>
      </c>
      <c r="H1920" s="1" cm="1">
        <f t="array" ref="H1920">SUMPRODUCT(("Var_Cap"=[1]OUT_TransportEnergyCons!$B$4:$B$10000)*1,("-"=[1]OUT_TransportEnergyCons!$C$4:$C$10000)*1,ISNUMBER(SEARCH("T_C*hy*GSL*s4",[1]OUT_TransportEnergyCons!$A$4:$A$10000))*1,[1]OUT_TransportEnergyCons!F$4:F$10000)</f>
        <v>1.3742658881605935E-2</v>
      </c>
      <c r="I1920" s="1" cm="1">
        <f t="array" ref="I1920">SUMPRODUCT(("Var_Cap"=[1]OUT_TransportEnergyCons!$B$4:$B$10000)*1,("-"=[1]OUT_TransportEnergyCons!$C$4:$C$10000)*1,ISNUMBER(SEARCH("T_C*hy*GSL*s4",[1]OUT_TransportEnergyCons!$A$4:$A$10000))*1,[1]OUT_TransportEnergyCons!G$4:G$10000)</f>
        <v>0.12687838753582034</v>
      </c>
      <c r="J1920" s="1" cm="1">
        <f t="array" ref="J1920">SUMPRODUCT(("Var_Cap"=[1]OUT_TransportEnergyCons!$B$4:$B$10000)*1,("-"=[1]OUT_TransportEnergyCons!$C$4:$C$10000)*1,ISNUMBER(SEARCH("T_C*hy*GSL*s4",[1]OUT_TransportEnergyCons!$A$4:$A$10000))*1,[1]OUT_TransportEnergyCons!H$4:H$10000)</f>
        <v>0.17721028349225276</v>
      </c>
      <c r="K1920" s="1" cm="1">
        <f t="array" ref="K1920">SUMPRODUCT(("Var_Cap"=[1]OUT_TransportEnergyCons!$B$4:$B$10000)*1,("-"=[1]OUT_TransportEnergyCons!$C$4:$C$10000)*1,ISNUMBER(SEARCH("T_C*hy*GSL*s4",[1]OUT_TransportEnergyCons!$A$4:$A$10000))*1,[1]OUT_TransportEnergyCons!I$4:I$10000)</f>
        <v>0.20322103365044722</v>
      </c>
    </row>
    <row r="1921" spans="2:11" x14ac:dyDescent="0.35">
      <c r="B1921" s="5" t="str">
        <f t="shared" si="1247"/>
        <v>SPS4</v>
      </c>
      <c r="C1921" s="5" t="str">
        <f t="shared" si="1245"/>
        <v>CH</v>
      </c>
      <c r="D1921" t="s">
        <v>1944</v>
      </c>
      <c r="E1921" t="str">
        <f t="shared" si="1246"/>
        <v>Million</v>
      </c>
      <c r="F1921" s="1" cm="1">
        <f t="array" ref="F1921">SUMPRODUCT(("Var_Cap"=[1]OUT_TransportEnergyCons!$B$4:$B$10000)*1,("-"=[1]OUT_TransportEnergyCons!$C$4:$C$10000)*1,ISNUMBER(SEARCH("T_C*ICE*GSL*ext",[1]OUT_TransportEnergyCons!$A$4:$A$10000))*1,[1]OUT_TransportEnergyCons!D$4:D$10000)</f>
        <v>2.4943270000000002</v>
      </c>
      <c r="G1921" s="1" cm="1">
        <f t="array" ref="G1921">SUMPRODUCT(("Var_Cap"=[1]OUT_TransportEnergyCons!$B$4:$B$10000)*1,("-"=[1]OUT_TransportEnergyCons!$C$4:$C$10000)*1,ISNUMBER(SEARCH("T_C*ICE*GSL*ext",[1]OUT_TransportEnergyCons!$A$4:$A$10000))*1,[1]OUT_TransportEnergyCons!E$4:E$10000)</f>
        <v>2.16175006666667</v>
      </c>
      <c r="H1921" s="1" cm="1">
        <f t="array" ref="H1921">SUMPRODUCT(("Var_Cap"=[1]OUT_TransportEnergyCons!$B$4:$B$10000)*1,("-"=[1]OUT_TransportEnergyCons!$C$4:$C$10000)*1,ISNUMBER(SEARCH("T_C*ICE*GSL*ext",[1]OUT_TransportEnergyCons!$A$4:$A$10000))*1,[1]OUT_TransportEnergyCons!F$4:F$10000)</f>
        <v>1.6628846458914153</v>
      </c>
      <c r="I1921" s="1" cm="1">
        <f t="array" ref="I1921">SUMPRODUCT(("Var_Cap"=[1]OUT_TransportEnergyCons!$B$4:$B$10000)*1,("-"=[1]OUT_TransportEnergyCons!$C$4:$C$10000)*1,ISNUMBER(SEARCH("T_C*ICE*GSL*ext",[1]OUT_TransportEnergyCons!$A$4:$A$10000))*1,[1]OUT_TransportEnergyCons!G$4:G$10000)</f>
        <v>0.8314421528122331</v>
      </c>
      <c r="J1921" s="1" cm="1">
        <f t="array" ref="J1921">SUMPRODUCT(("Var_Cap"=[1]OUT_TransportEnergyCons!$B$4:$B$10000)*1,("-"=[1]OUT_TransportEnergyCons!$C$4:$C$10000)*1,ISNUMBER(SEARCH("T_C*ICE*GSL*ext",[1]OUT_TransportEnergyCons!$A$4:$A$10000))*1,[1]OUT_TransportEnergyCons!H$4:H$10000)</f>
        <v>0</v>
      </c>
      <c r="K1921" s="1" cm="1">
        <f t="array" ref="K1921">SUMPRODUCT(("Var_Cap"=[1]OUT_TransportEnergyCons!$B$4:$B$10000)*1,("-"=[1]OUT_TransportEnergyCons!$C$4:$C$10000)*1,ISNUMBER(SEARCH("T_C*ICE*GSL*ext",[1]OUT_TransportEnergyCons!$A$4:$A$10000))*1,[1]OUT_TransportEnergyCons!I$4:I$10000)</f>
        <v>0</v>
      </c>
    </row>
    <row r="1922" spans="2:11" x14ac:dyDescent="0.35">
      <c r="B1922" s="5" t="str">
        <f t="shared" si="1247"/>
        <v>SPS4</v>
      </c>
      <c r="C1922" s="5" t="str">
        <f t="shared" si="1245"/>
        <v>CH</v>
      </c>
      <c r="D1922" t="s">
        <v>1945</v>
      </c>
      <c r="E1922" t="str">
        <f t="shared" si="1246"/>
        <v>Million</v>
      </c>
      <c r="F1922" s="1" cm="1">
        <f t="array" ref="F1922">SUMPRODUCT(("Var_Cap"=[1]OUT_TransportEnergyCons!$B$4:$B$10000)*1,("-"=[1]OUT_TransportEnergyCons!$C$4:$C$10000)*1,ISNUMBER(SEARCH("T_C*ICE*GSL*s1",[1]OUT_TransportEnergyCons!$A$4:$A$10000))*1,[1]OUT_TransportEnergyCons!D$4:D$10000)</f>
        <v>3.6542178433027414E-2</v>
      </c>
      <c r="G1922" s="1" cm="1">
        <f t="array" ref="G1922">SUMPRODUCT(("Var_Cap"=[1]OUT_TransportEnergyCons!$B$4:$B$10000)*1,("-"=[1]OUT_TransportEnergyCons!$C$4:$C$10000)*1,ISNUMBER(SEARCH("T_C*ICE*GSL*s1",[1]OUT_TransportEnergyCons!$A$4:$A$10000))*1,[1]OUT_TransportEnergyCons!E$4:E$10000)</f>
        <v>3.9785818679068656E-2</v>
      </c>
      <c r="H1922" s="1" cm="1">
        <f t="array" ref="H1922">SUMPRODUCT(("Var_Cap"=[1]OUT_TransportEnergyCons!$B$4:$B$10000)*1,("-"=[1]OUT_TransportEnergyCons!$C$4:$C$10000)*1,ISNUMBER(SEARCH("T_C*ICE*GSL*s1",[1]OUT_TransportEnergyCons!$A$4:$A$10000))*1,[1]OUT_TransportEnergyCons!F$4:F$10000)</f>
        <v>9.9237064480804202E-2</v>
      </c>
      <c r="I1922" s="1" cm="1">
        <f t="array" ref="I1922">SUMPRODUCT(("Var_Cap"=[1]OUT_TransportEnergyCons!$B$4:$B$10000)*1,("-"=[1]OUT_TransportEnergyCons!$C$4:$C$10000)*1,ISNUMBER(SEARCH("T_C*ICE*GSL*s1",[1]OUT_TransportEnergyCons!$A$4:$A$10000))*1,[1]OUT_TransportEnergyCons!G$4:G$10000)</f>
        <v>8.2847123294471636E-2</v>
      </c>
      <c r="J1922" s="1" cm="1">
        <f t="array" ref="J1922">SUMPRODUCT(("Var_Cap"=[1]OUT_TransportEnergyCons!$B$4:$B$10000)*1,("-"=[1]OUT_TransportEnergyCons!$C$4:$C$10000)*1,ISNUMBER(SEARCH("T_C*ICE*GSL*s1",[1]OUT_TransportEnergyCons!$A$4:$A$10000))*1,[1]OUT_TransportEnergyCons!H$4:H$10000)</f>
        <v>5.1710239958383487E-3</v>
      </c>
      <c r="K1922" s="1" cm="1">
        <f t="array" ref="K1922">SUMPRODUCT(("Var_Cap"=[1]OUT_TransportEnergyCons!$B$4:$B$10000)*1,("-"=[1]OUT_TransportEnergyCons!$C$4:$C$10000)*1,ISNUMBER(SEARCH("T_C*ICE*GSL*s1",[1]OUT_TransportEnergyCons!$A$4:$A$10000))*1,[1]OUT_TransportEnergyCons!I$4:I$10000)</f>
        <v>3.7723771912145868E-5</v>
      </c>
    </row>
    <row r="1923" spans="2:11" x14ac:dyDescent="0.35">
      <c r="B1923" s="5" t="str">
        <f t="shared" si="1247"/>
        <v>SPS4</v>
      </c>
      <c r="C1923" s="5" t="str">
        <f t="shared" si="1245"/>
        <v>CH</v>
      </c>
      <c r="D1923" t="s">
        <v>1946</v>
      </c>
      <c r="E1923" t="str">
        <f t="shared" si="1246"/>
        <v>Million</v>
      </c>
      <c r="F1923" s="1" cm="1">
        <f t="array" ref="F1923">SUMPRODUCT(("Var_Cap"=[1]OUT_TransportEnergyCons!$B$4:$B$10000)*1,("-"=[1]OUT_TransportEnergyCons!$C$4:$C$10000)*1,ISNUMBER(SEARCH("T_C*ICE*GSL*s2",[1]OUT_TransportEnergyCons!$A$4:$A$10000))*1,[1]OUT_TransportEnergyCons!D$4:D$10000)</f>
        <v>0.21742988817836417</v>
      </c>
      <c r="G1923" s="1" cm="1">
        <f t="array" ref="G1923">SUMPRODUCT(("Var_Cap"=[1]OUT_TransportEnergyCons!$B$4:$B$10000)*1,("-"=[1]OUT_TransportEnergyCons!$C$4:$C$10000)*1,ISNUMBER(SEARCH("T_C*ICE*GSL*s2",[1]OUT_TransportEnergyCons!$A$4:$A$10000))*1,[1]OUT_TransportEnergyCons!E$4:E$10000)</f>
        <v>0.24339377525717174</v>
      </c>
      <c r="H1923" s="1" cm="1">
        <f t="array" ref="H1923">SUMPRODUCT(("Var_Cap"=[1]OUT_TransportEnergyCons!$B$4:$B$10000)*1,("-"=[1]OUT_TransportEnergyCons!$C$4:$C$10000)*1,ISNUMBER(SEARCH("T_C*ICE*GSL*s2",[1]OUT_TransportEnergyCons!$A$4:$A$10000))*1,[1]OUT_TransportEnergyCons!F$4:F$10000)</f>
        <v>0.24204655736631081</v>
      </c>
      <c r="I1923" s="1" cm="1">
        <f t="array" ref="I1923">SUMPRODUCT(("Var_Cap"=[1]OUT_TransportEnergyCons!$B$4:$B$10000)*1,("-"=[1]OUT_TransportEnergyCons!$C$4:$C$10000)*1,ISNUMBER(SEARCH("T_C*ICE*GSL*s2",[1]OUT_TransportEnergyCons!$A$4:$A$10000))*1,[1]OUT_TransportEnergyCons!G$4:G$10000)</f>
        <v>0.19152992977969249</v>
      </c>
      <c r="J1923" s="1" cm="1">
        <f t="array" ref="J1923">SUMPRODUCT(("Var_Cap"=[1]OUT_TransportEnergyCons!$B$4:$B$10000)*1,("-"=[1]OUT_TransportEnergyCons!$C$4:$C$10000)*1,ISNUMBER(SEARCH("T_C*ICE*GSL*s2",[1]OUT_TransportEnergyCons!$A$4:$A$10000))*1,[1]OUT_TransportEnergyCons!H$4:H$10000)</f>
        <v>3.3448323565857387E-4</v>
      </c>
      <c r="K1923" s="1" cm="1">
        <f t="array" ref="K1923">SUMPRODUCT(("Var_Cap"=[1]OUT_TransportEnergyCons!$B$4:$B$10000)*1,("-"=[1]OUT_TransportEnergyCons!$C$4:$C$10000)*1,ISNUMBER(SEARCH("T_C*ICE*GSL*s2",[1]OUT_TransportEnergyCons!$A$4:$A$10000))*1,[1]OUT_TransportEnergyCons!I$4:I$10000)</f>
        <v>5.0803075634109932E-5</v>
      </c>
    </row>
    <row r="1924" spans="2:11" x14ac:dyDescent="0.35">
      <c r="B1924" s="5" t="str">
        <f t="shared" si="1247"/>
        <v>SPS4</v>
      </c>
      <c r="C1924" s="5" t="str">
        <f t="shared" si="1245"/>
        <v>CH</v>
      </c>
      <c r="D1924" t="s">
        <v>1947</v>
      </c>
      <c r="E1924" t="str">
        <f t="shared" si="1246"/>
        <v>Million</v>
      </c>
      <c r="F1924" s="1" cm="1">
        <f t="array" ref="F1924">SUMPRODUCT(("Var_Cap"=[1]OUT_TransportEnergyCons!$B$4:$B$10000)*1,("-"=[1]OUT_TransportEnergyCons!$C$4:$C$10000)*1,ISNUMBER(SEARCH("T_C*ICE*GSL*s3",[1]OUT_TransportEnergyCons!$A$4:$A$10000))*1,[1]OUT_TransportEnergyCons!D$4:D$10000)</f>
        <v>0.18201165644271147</v>
      </c>
      <c r="G1924" s="1" cm="1">
        <f t="array" ref="G1924">SUMPRODUCT(("Var_Cap"=[1]OUT_TransportEnergyCons!$B$4:$B$10000)*1,("-"=[1]OUT_TransportEnergyCons!$C$4:$C$10000)*1,ISNUMBER(SEARCH("T_C*ICE*GSL*s3",[1]OUT_TransportEnergyCons!$A$4:$A$10000))*1,[1]OUT_TransportEnergyCons!E$4:E$10000)</f>
        <v>0.20368974952954949</v>
      </c>
      <c r="H1924" s="1" cm="1">
        <f t="array" ref="H1924">SUMPRODUCT(("Var_Cap"=[1]OUT_TransportEnergyCons!$B$4:$B$10000)*1,("-"=[1]OUT_TransportEnergyCons!$C$4:$C$10000)*1,ISNUMBER(SEARCH("T_C*ICE*GSL*s3",[1]OUT_TransportEnergyCons!$A$4:$A$10000))*1,[1]OUT_TransportEnergyCons!F$4:F$10000)</f>
        <v>0.24192928702347569</v>
      </c>
      <c r="I1924" s="1" cm="1">
        <f t="array" ref="I1924">SUMPRODUCT(("Var_Cap"=[1]OUT_TransportEnergyCons!$B$4:$B$10000)*1,("-"=[1]OUT_TransportEnergyCons!$C$4:$C$10000)*1,ISNUMBER(SEARCH("T_C*ICE*GSL*s3",[1]OUT_TransportEnergyCons!$A$4:$A$10000))*1,[1]OUT_TransportEnergyCons!G$4:G$10000)</f>
        <v>0.19933448565622264</v>
      </c>
      <c r="J1924" s="1" cm="1">
        <f t="array" ref="J1924">SUMPRODUCT(("Var_Cap"=[1]OUT_TransportEnergyCons!$B$4:$B$10000)*1,("-"=[1]OUT_TransportEnergyCons!$C$4:$C$10000)*1,ISNUMBER(SEARCH("T_C*ICE*GSL*s3",[1]OUT_TransportEnergyCons!$A$4:$A$10000))*1,[1]OUT_TransportEnergyCons!H$4:H$10000)</f>
        <v>3.6656442574910303E-3</v>
      </c>
      <c r="K1924" s="1" cm="1">
        <f t="array" ref="K1924">SUMPRODUCT(("Var_Cap"=[1]OUT_TransportEnergyCons!$B$4:$B$10000)*1,("-"=[1]OUT_TransportEnergyCons!$C$4:$C$10000)*1,ISNUMBER(SEARCH("T_C*ICE*GSL*s3",[1]OUT_TransportEnergyCons!$A$4:$A$10000))*1,[1]OUT_TransportEnergyCons!I$4:I$10000)</f>
        <v>6.4889251563379579E-5</v>
      </c>
    </row>
    <row r="1925" spans="2:11" x14ac:dyDescent="0.35">
      <c r="B1925" s="5" t="str">
        <f t="shared" si="1247"/>
        <v>SPS4</v>
      </c>
      <c r="C1925" s="5" t="str">
        <f t="shared" si="1245"/>
        <v>CH</v>
      </c>
      <c r="D1925" t="s">
        <v>1948</v>
      </c>
      <c r="E1925" t="str">
        <f t="shared" si="1246"/>
        <v>Million</v>
      </c>
      <c r="F1925" s="1" cm="1">
        <f t="array" ref="F1925">SUMPRODUCT(("Var_Cap"=[1]OUT_TransportEnergyCons!$B$4:$B$10000)*1,("-"=[1]OUT_TransportEnergyCons!$C$4:$C$10000)*1,ISNUMBER(SEARCH("T_C*ICE*GSL*s4",[1]OUT_TransportEnergyCons!$A$4:$A$10000))*1,[1]OUT_TransportEnergyCons!D$4:D$10000)</f>
        <v>0.15707498609420348</v>
      </c>
      <c r="G1925" s="1" cm="1">
        <f t="array" ref="G1925">SUMPRODUCT(("Var_Cap"=[1]OUT_TransportEnergyCons!$B$4:$B$10000)*1,("-"=[1]OUT_TransportEnergyCons!$C$4:$C$10000)*1,ISNUMBER(SEARCH("T_C*ICE*GSL*s4",[1]OUT_TransportEnergyCons!$A$4:$A$10000))*1,[1]OUT_TransportEnergyCons!E$4:E$10000)</f>
        <v>0.17929197578603187</v>
      </c>
      <c r="H1925" s="1" cm="1">
        <f t="array" ref="H1925">SUMPRODUCT(("Var_Cap"=[1]OUT_TransportEnergyCons!$B$4:$B$10000)*1,("-"=[1]OUT_TransportEnergyCons!$C$4:$C$10000)*1,ISNUMBER(SEARCH("T_C*ICE*GSL*s4",[1]OUT_TransportEnergyCons!$A$4:$A$10000))*1,[1]OUT_TransportEnergyCons!F$4:F$10000)</f>
        <v>0.39254068951724225</v>
      </c>
      <c r="I1925" s="1" cm="1">
        <f t="array" ref="I1925">SUMPRODUCT(("Var_Cap"=[1]OUT_TransportEnergyCons!$B$4:$B$10000)*1,("-"=[1]OUT_TransportEnergyCons!$C$4:$C$10000)*1,ISNUMBER(SEARCH("T_C*ICE*GSL*s4",[1]OUT_TransportEnergyCons!$A$4:$A$10000))*1,[1]OUT_TransportEnergyCons!G$4:G$10000)</f>
        <v>0.84441612164678637</v>
      </c>
      <c r="J1925" s="1" cm="1">
        <f t="array" ref="J1925">SUMPRODUCT(("Var_Cap"=[1]OUT_TransportEnergyCons!$B$4:$B$10000)*1,("-"=[1]OUT_TransportEnergyCons!$C$4:$C$10000)*1,ISNUMBER(SEARCH("T_C*ICE*GSL*s4",[1]OUT_TransportEnergyCons!$A$4:$A$10000))*1,[1]OUT_TransportEnergyCons!H$4:H$10000)</f>
        <v>1.2899943173382951</v>
      </c>
      <c r="K1925" s="1" cm="1">
        <f t="array" ref="K1925">SUMPRODUCT(("Var_Cap"=[1]OUT_TransportEnergyCons!$B$4:$B$10000)*1,("-"=[1]OUT_TransportEnergyCons!$C$4:$C$10000)*1,ISNUMBER(SEARCH("T_C*ICE*GSL*s4",[1]OUT_TransportEnergyCons!$A$4:$A$10000))*1,[1]OUT_TransportEnergyCons!I$4:I$10000)</f>
        <v>1.2991082417183404</v>
      </c>
    </row>
    <row r="1926" spans="2:11" x14ac:dyDescent="0.35">
      <c r="B1926" s="5" t="str">
        <f t="shared" si="1247"/>
        <v>SPS4</v>
      </c>
      <c r="C1926" s="5" t="str">
        <f t="shared" si="1245"/>
        <v>CH</v>
      </c>
      <c r="D1926" t="s">
        <v>1949</v>
      </c>
      <c r="E1926" t="str">
        <f t="shared" si="1246"/>
        <v>Million</v>
      </c>
      <c r="F1926" s="1" cm="1">
        <f t="array" ref="F1926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26" s="1" cm="1">
        <f t="array" ref="G1926">SUMPRODUCT(("Var_Cap"=[1]OUT_TransportEnergyCons!$B$4:$B$10000)*1,("-"=[1]OUT_TransportEnergyCons!$C$4:$C$10000)*1,ISNUMBER(SEARCH("T_C*mhy*GSL*s1",[1]OUT_TransportEnergyCons!$A$4:$A$10000))*1,[1]OUT_TransportEnergyCons!E$4:E$10000)</f>
        <v>2.8600215530585601E-5</v>
      </c>
      <c r="H1926" s="1" cm="1">
        <f t="array" ref="H1926">SUMPRODUCT(("Var_Cap"=[1]OUT_TransportEnergyCons!$B$4:$B$10000)*1,("-"=[1]OUT_TransportEnergyCons!$C$4:$C$10000)*1,ISNUMBER(SEARCH("T_C*mhy*GSL*s1",[1]OUT_TransportEnergyCons!$A$4:$A$10000))*1,[1]OUT_TransportEnergyCons!F$4:F$10000)</f>
        <v>1.79506651169807E-2</v>
      </c>
      <c r="I1926" s="1" cm="1">
        <f t="array" ref="I1926">SUMPRODUCT(("Var_Cap"=[1]OUT_TransportEnergyCons!$B$4:$B$10000)*1,("-"=[1]OUT_TransportEnergyCons!$C$4:$C$10000)*1,ISNUMBER(SEARCH("T_C*mhy*GSL*s1",[1]OUT_TransportEnergyCons!$A$4:$A$10000))*1,[1]OUT_TransportEnergyCons!G$4:G$10000)</f>
        <v>1.5979359617114601E-2</v>
      </c>
      <c r="J1926" s="1" cm="1">
        <f t="array" ref="J1926">SUMPRODUCT(("Var_Cap"=[1]OUT_TransportEnergyCons!$B$4:$B$10000)*1,("-"=[1]OUT_TransportEnergyCons!$C$4:$C$10000)*1,ISNUMBER(SEARCH("T_C*mhy*GSL*s1",[1]OUT_TransportEnergyCons!$A$4:$A$10000))*1,[1]OUT_TransportEnergyCons!H$4:H$10000)</f>
        <v>1.7100511177333699E-3</v>
      </c>
      <c r="K1926" s="1" cm="1">
        <f t="array" ref="K1926">SUMPRODUCT(("Var_Cap"=[1]OUT_TransportEnergyCons!$B$4:$B$10000)*1,("-"=[1]OUT_TransportEnergyCons!$C$4:$C$10000)*1,ISNUMBER(SEARCH("T_C*mhy*GSL*s1",[1]OUT_TransportEnergyCons!$A$4:$A$10000))*1,[1]OUT_TransportEnergyCons!I$4:I$10000)</f>
        <v>5.1675216218481103E-5</v>
      </c>
    </row>
    <row r="1927" spans="2:11" x14ac:dyDescent="0.35">
      <c r="B1927" s="5" t="str">
        <f t="shared" si="1247"/>
        <v>SPS4</v>
      </c>
      <c r="C1927" s="5" t="str">
        <f t="shared" si="1245"/>
        <v>CH</v>
      </c>
      <c r="D1927" t="s">
        <v>1950</v>
      </c>
      <c r="E1927" t="str">
        <f t="shared" si="1246"/>
        <v>Million</v>
      </c>
      <c r="F1927" s="1" cm="1">
        <f t="array" ref="F1927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27" s="1" cm="1">
        <f t="array" ref="G1927">SUMPRODUCT(("Var_Cap"=[1]OUT_TransportEnergyCons!$B$4:$B$10000)*1,("-"=[1]OUT_TransportEnergyCons!$C$4:$C$10000)*1,ISNUMBER(SEARCH("T_C*mhy*GSL*s2",[1]OUT_TransportEnergyCons!$A$4:$A$10000))*1,[1]OUT_TransportEnergyCons!E$4:E$10000)</f>
        <v>1.13821950293843E-5</v>
      </c>
      <c r="H1927" s="1" cm="1">
        <f t="array" ref="H1927">SUMPRODUCT(("Var_Cap"=[1]OUT_TransportEnergyCons!$B$4:$B$10000)*1,("-"=[1]OUT_TransportEnergyCons!$C$4:$C$10000)*1,ISNUMBER(SEARCH("T_C*mhy*GSL*s2",[1]OUT_TransportEnergyCons!$A$4:$A$10000))*1,[1]OUT_TransportEnergyCons!F$4:F$10000)</f>
        <v>8.4345103615939105E-5</v>
      </c>
      <c r="I1927" s="1" cm="1">
        <f t="array" ref="I1927">SUMPRODUCT(("Var_Cap"=[1]OUT_TransportEnergyCons!$B$4:$B$10000)*1,("-"=[1]OUT_TransportEnergyCons!$C$4:$C$10000)*1,ISNUMBER(SEARCH("T_C*mhy*GSL*s2",[1]OUT_TransportEnergyCons!$A$4:$A$10000))*1,[1]OUT_TransportEnergyCons!G$4:G$10000)</f>
        <v>2.3503266146032001E-4</v>
      </c>
      <c r="J1927" s="1" cm="1">
        <f t="array" ref="J1927">SUMPRODUCT(("Var_Cap"=[1]OUT_TransportEnergyCons!$B$4:$B$10000)*1,("-"=[1]OUT_TransportEnergyCons!$C$4:$C$10000)*1,ISNUMBER(SEARCH("T_C*mhy*GSL*s2",[1]OUT_TransportEnergyCons!$A$4:$A$10000))*1,[1]OUT_TransportEnergyCons!H$4:H$10000)</f>
        <v>1.6634470849579699E-4</v>
      </c>
      <c r="K1927" s="1" cm="1">
        <f t="array" ref="K1927">SUMPRODUCT(("Var_Cap"=[1]OUT_TransportEnergyCons!$B$4:$B$10000)*1,("-"=[1]OUT_TransportEnergyCons!$C$4:$C$10000)*1,ISNUMBER(SEARCH("T_C*mhy*GSL*s2",[1]OUT_TransportEnergyCons!$A$4:$A$10000))*1,[1]OUT_TransportEnergyCons!I$4:I$10000)</f>
        <v>4.56559694638636E-5</v>
      </c>
    </row>
    <row r="1928" spans="2:11" x14ac:dyDescent="0.35">
      <c r="B1928" s="5" t="str">
        <f t="shared" si="1247"/>
        <v>SPS4</v>
      </c>
      <c r="C1928" s="5" t="str">
        <f t="shared" si="1245"/>
        <v>CH</v>
      </c>
      <c r="D1928" t="s">
        <v>1951</v>
      </c>
      <c r="E1928" t="str">
        <f t="shared" si="1246"/>
        <v>Million</v>
      </c>
      <c r="F1928" s="1" cm="1">
        <f t="array" ref="F1928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28" s="1" cm="1">
        <f t="array" ref="G1928">SUMPRODUCT(("Var_Cap"=[1]OUT_TransportEnergyCons!$B$4:$B$10000)*1,("-"=[1]OUT_TransportEnergyCons!$C$4:$C$10000)*1,ISNUMBER(SEARCH("T_C*mhy*GSL*s3",[1]OUT_TransportEnergyCons!$A$4:$A$10000))*1,[1]OUT_TransportEnergyCons!E$4:E$10000)</f>
        <v>1.37258745915628E-5</v>
      </c>
      <c r="H1928" s="1" cm="1">
        <f t="array" ref="H1928">SUMPRODUCT(("Var_Cap"=[1]OUT_TransportEnergyCons!$B$4:$B$10000)*1,("-"=[1]OUT_TransportEnergyCons!$C$4:$C$10000)*1,ISNUMBER(SEARCH("T_C*mhy*GSL*s3",[1]OUT_TransportEnergyCons!$A$4:$A$10000))*1,[1]OUT_TransportEnergyCons!F$4:F$10000)</f>
        <v>6.1159705693706598E-5</v>
      </c>
      <c r="I1928" s="1" cm="1">
        <f t="array" ref="I1928">SUMPRODUCT(("Var_Cap"=[1]OUT_TransportEnergyCons!$B$4:$B$10000)*1,("-"=[1]OUT_TransportEnergyCons!$C$4:$C$10000)*1,ISNUMBER(SEARCH("T_C*mhy*GSL*s3",[1]OUT_TransportEnergyCons!$A$4:$A$10000))*1,[1]OUT_TransportEnergyCons!G$4:G$10000)</f>
        <v>1.20545829112224E-4</v>
      </c>
      <c r="J1928" s="1" cm="1">
        <f t="array" ref="J1928">SUMPRODUCT(("Var_Cap"=[1]OUT_TransportEnergyCons!$B$4:$B$10000)*1,("-"=[1]OUT_TransportEnergyCons!$C$4:$C$10000)*1,ISNUMBER(SEARCH("T_C*mhy*GSL*s3",[1]OUT_TransportEnergyCons!$A$4:$A$10000))*1,[1]OUT_TransportEnergyCons!H$4:H$10000)</f>
        <v>1.07117948159123E-4</v>
      </c>
      <c r="K1928" s="1" cm="1">
        <f t="array" ref="K1928">SUMPRODUCT(("Var_Cap"=[1]OUT_TransportEnergyCons!$B$4:$B$10000)*1,("-"=[1]OUT_TransportEnergyCons!$C$4:$C$10000)*1,ISNUMBER(SEARCH("T_C*mhy*GSL*s3",[1]OUT_TransportEnergyCons!$A$4:$A$10000))*1,[1]OUT_TransportEnergyCons!I$4:I$10000)</f>
        <v>4.4149371502310103E-5</v>
      </c>
    </row>
    <row r="1929" spans="2:11" x14ac:dyDescent="0.35">
      <c r="B1929" s="5" t="str">
        <f t="shared" si="1247"/>
        <v>SPS4</v>
      </c>
      <c r="C1929" s="5" t="str">
        <f t="shared" si="1245"/>
        <v>CH</v>
      </c>
      <c r="D1929" t="s">
        <v>1952</v>
      </c>
      <c r="E1929" t="str">
        <f t="shared" si="1246"/>
        <v>Million</v>
      </c>
      <c r="F1929" s="1" cm="1">
        <f t="array" ref="F1929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29" s="1" cm="1">
        <f t="array" ref="G1929">SUMPRODUCT(("Var_Cap"=[1]OUT_TransportEnergyCons!$B$4:$B$10000)*1,("-"=[1]OUT_TransportEnergyCons!$C$4:$C$10000)*1,ISNUMBER(SEARCH("T_C*mhy*GSL*s4",[1]OUT_TransportEnergyCons!$A$4:$A$10000))*1,[1]OUT_TransportEnergyCons!E$4:E$10000)</f>
        <v>2.10228027114051E-5</v>
      </c>
      <c r="H1929" s="1" cm="1">
        <f t="array" ref="H1929">SUMPRODUCT(("Var_Cap"=[1]OUT_TransportEnergyCons!$B$4:$B$10000)*1,("-"=[1]OUT_TransportEnergyCons!$C$4:$C$10000)*1,ISNUMBER(SEARCH("T_C*mhy*GSL*s4",[1]OUT_TransportEnergyCons!$A$4:$A$10000))*1,[1]OUT_TransportEnergyCons!F$4:F$10000)</f>
        <v>1.31452005175968E-4</v>
      </c>
      <c r="I1929" s="1" cm="1">
        <f t="array" ref="I1929">SUMPRODUCT(("Var_Cap"=[1]OUT_TransportEnergyCons!$B$4:$B$10000)*1,("-"=[1]OUT_TransportEnergyCons!$C$4:$C$10000)*1,ISNUMBER(SEARCH("T_C*mhy*GSL*s4",[1]OUT_TransportEnergyCons!$A$4:$A$10000))*1,[1]OUT_TransportEnergyCons!G$4:G$10000)</f>
        <v>0.115477055277276</v>
      </c>
      <c r="J1929" s="1" cm="1">
        <f t="array" ref="J1929">SUMPRODUCT(("Var_Cap"=[1]OUT_TransportEnergyCons!$B$4:$B$10000)*1,("-"=[1]OUT_TransportEnergyCons!$C$4:$C$10000)*1,ISNUMBER(SEARCH("T_C*mhy*GSL*s4",[1]OUT_TransportEnergyCons!$A$4:$A$10000))*1,[1]OUT_TransportEnergyCons!H$4:H$10000)</f>
        <v>0.17712418118056</v>
      </c>
      <c r="K1929" s="1" cm="1">
        <f t="array" ref="K1929">SUMPRODUCT(("Var_Cap"=[1]OUT_TransportEnergyCons!$B$4:$B$10000)*1,("-"=[1]OUT_TransportEnergyCons!$C$4:$C$10000)*1,ISNUMBER(SEARCH("T_C*mhy*GSL*s4",[1]OUT_TransportEnergyCons!$A$4:$A$10000))*1,[1]OUT_TransportEnergyCons!I$4:I$10000)</f>
        <v>0.203075067113098</v>
      </c>
    </row>
    <row r="1930" spans="2:11" x14ac:dyDescent="0.35">
      <c r="B1930" s="5" t="str">
        <f t="shared" si="1247"/>
        <v>SPS4</v>
      </c>
      <c r="C1930" s="5" t="str">
        <f t="shared" si="1245"/>
        <v>CH</v>
      </c>
      <c r="D1930" t="s">
        <v>1953</v>
      </c>
      <c r="E1930" t="str">
        <f t="shared" si="1246"/>
        <v>Million</v>
      </c>
      <c r="F1930" s="1" cm="1">
        <f t="array" ref="F1930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0" s="1" cm="1">
        <f t="array" ref="G1930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0" s="1" cm="1">
        <f t="array" ref="H1930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0" s="1" cm="1">
        <f t="array" ref="I1930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0" s="1" cm="1">
        <f t="array" ref="J1930">SUMPRODUCT(("Var_Cap"=[1]OUT_TransportEnergyCons!$B$4:$B$10000)*1,("-"=[1]OUT_TransportEnergyCons!$C$4:$C$10000)*1,ISNUMBER(SEARCH("T_C*hy*dsl*ext",[1]OUT_TransportEnergyCons!$A$4:$A$10000))*1,[1]OUT_TransportEnergyCons!H$4:H$10000)</f>
        <v>0</v>
      </c>
      <c r="K1930" s="1" cm="1">
        <f t="array" ref="K1930">SUMPRODUCT(("Var_Cap"=[1]OUT_TransportEnergyCons!$B$4:$B$10000)*1,("-"=[1]OUT_TransportEnergyCons!$C$4:$C$10000)*1,ISNUMBER(SEARCH("T_C*hy*dsl*ext",[1]OUT_TransportEnergyCons!$A$4:$A$10000))*1,[1]OUT_TransportEnergyCons!I$4:I$10000)</f>
        <v>0</v>
      </c>
    </row>
    <row r="1931" spans="2:11" x14ac:dyDescent="0.35">
      <c r="B1931" s="5" t="str">
        <f t="shared" si="1247"/>
        <v>SPS4</v>
      </c>
      <c r="C1931" s="5" t="str">
        <f t="shared" si="1245"/>
        <v>CH</v>
      </c>
      <c r="D1931" t="s">
        <v>1954</v>
      </c>
      <c r="E1931" t="str">
        <f t="shared" si="1246"/>
        <v>Million</v>
      </c>
      <c r="F1931" s="1" cm="1">
        <f t="array" ref="F1931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1" s="1" cm="1">
        <f t="array" ref="G1931">SUMPRODUCT(("Var_Cap"=[1]OUT_TransportEnergyCons!$B$4:$B$10000)*1,("-"=[1]OUT_TransportEnergyCons!$C$4:$C$10000)*1,ISNUMBER(SEARCH("T_C*hy*dsl*s1",[1]OUT_TransportEnergyCons!$A$4:$A$10000))*1,[1]OUT_TransportEnergyCons!E$4:E$10000)</f>
        <v>3.2022115740600765E-2</v>
      </c>
      <c r="H1931" s="1" cm="1">
        <f t="array" ref="H1931">SUMPRODUCT(("Var_Cap"=[1]OUT_TransportEnergyCons!$B$4:$B$10000)*1,("-"=[1]OUT_TransportEnergyCons!$C$4:$C$10000)*1,ISNUMBER(SEARCH("T_C*hy*dsl*s1",[1]OUT_TransportEnergyCons!$A$4:$A$10000))*1,[1]OUT_TransportEnergyCons!F$4:F$10000)</f>
        <v>4.2985404523464332E-2</v>
      </c>
      <c r="I1931" s="1" cm="1">
        <f t="array" ref="I1931">SUMPRODUCT(("Var_Cap"=[1]OUT_TransportEnergyCons!$B$4:$B$10000)*1,("-"=[1]OUT_TransportEnergyCons!$C$4:$C$10000)*1,ISNUMBER(SEARCH("T_C*hy*dsl*s1",[1]OUT_TransportEnergyCons!$A$4:$A$10000))*1,[1]OUT_TransportEnergyCons!G$4:G$10000)</f>
        <v>0.17539575150840844</v>
      </c>
      <c r="J1931" s="1" cm="1">
        <f t="array" ref="J1931">SUMPRODUCT(("Var_Cap"=[1]OUT_TransportEnergyCons!$B$4:$B$10000)*1,("-"=[1]OUT_TransportEnergyCons!$C$4:$C$10000)*1,ISNUMBER(SEARCH("T_C*hy*dsl*s1",[1]OUT_TransportEnergyCons!$A$4:$A$10000))*1,[1]OUT_TransportEnergyCons!H$4:H$10000)</f>
        <v>0.22158001320049575</v>
      </c>
      <c r="K1931" s="1" cm="1">
        <f t="array" ref="K1931">SUMPRODUCT(("Var_Cap"=[1]OUT_TransportEnergyCons!$B$4:$B$10000)*1,("-"=[1]OUT_TransportEnergyCons!$C$4:$C$10000)*1,ISNUMBER(SEARCH("T_C*hy*dsl*s1",[1]OUT_TransportEnergyCons!$A$4:$A$10000))*1,[1]OUT_TransportEnergyCons!I$4:I$10000)</f>
        <v>5.9351640740615594E-2</v>
      </c>
    </row>
    <row r="1932" spans="2:11" x14ac:dyDescent="0.35">
      <c r="B1932" s="5" t="str">
        <f t="shared" si="1247"/>
        <v>SPS4</v>
      </c>
      <c r="C1932" s="5" t="str">
        <f t="shared" si="1245"/>
        <v>CH</v>
      </c>
      <c r="D1932" t="s">
        <v>1955</v>
      </c>
      <c r="E1932" t="str">
        <f t="shared" si="1246"/>
        <v>Million</v>
      </c>
      <c r="F1932" s="1" cm="1">
        <f t="array" ref="F1932">SUMPRODUCT(("Var_Cap"=[1]OUT_TransportEnergyCons!$B$4:$B$10000)*1,("-"=[1]OUT_TransportEnergyCons!$C$4:$C$10000)*1,ISNUMBER(SEARCH("T_C*hy*dsl*s2",[1]OUT_TransportEnergyCons!$A$4:$A$10000))*1,[1]OUT_TransportEnergyCons!D$4:D$10000)</f>
        <v>2.5974892323239209E-4</v>
      </c>
      <c r="G1932" s="1" cm="1">
        <f t="array" ref="G1932">SUMPRODUCT(("Var_Cap"=[1]OUT_TransportEnergyCons!$B$4:$B$10000)*1,("-"=[1]OUT_TransportEnergyCons!$C$4:$C$10000)*1,ISNUMBER(SEARCH("T_C*hy*dsl*s2",[1]OUT_TransportEnergyCons!$A$4:$A$10000))*1,[1]OUT_TransportEnergyCons!E$4:E$10000)</f>
        <v>0.12531958537586332</v>
      </c>
      <c r="H1932" s="1" cm="1">
        <f t="array" ref="H1932">SUMPRODUCT(("Var_Cap"=[1]OUT_TransportEnergyCons!$B$4:$B$10000)*1,("-"=[1]OUT_TransportEnergyCons!$C$4:$C$10000)*1,ISNUMBER(SEARCH("T_C*hy*dsl*s2",[1]OUT_TransportEnergyCons!$A$4:$A$10000))*1,[1]OUT_TransportEnergyCons!F$4:F$10000)</f>
        <v>0.19846413398986548</v>
      </c>
      <c r="I1932" s="1" cm="1">
        <f t="array" ref="I1932">SUMPRODUCT(("Var_Cap"=[1]OUT_TransportEnergyCons!$B$4:$B$10000)*1,("-"=[1]OUT_TransportEnergyCons!$C$4:$C$10000)*1,ISNUMBER(SEARCH("T_C*hy*dsl*s2",[1]OUT_TransportEnergyCons!$A$4:$A$10000))*1,[1]OUT_TransportEnergyCons!G$4:G$10000)</f>
        <v>0.17327124721251547</v>
      </c>
      <c r="J1932" s="1" cm="1">
        <f t="array" ref="J1932">SUMPRODUCT(("Var_Cap"=[1]OUT_TransportEnergyCons!$B$4:$B$10000)*1,("-"=[1]OUT_TransportEnergyCons!$C$4:$C$10000)*1,ISNUMBER(SEARCH("T_C*hy*dsl*s2",[1]OUT_TransportEnergyCons!$A$4:$A$10000))*1,[1]OUT_TransportEnergyCons!H$4:H$10000)</f>
        <v>1.7832668511527677E-2</v>
      </c>
      <c r="K1932" s="1" cm="1">
        <f t="array" ref="K1932">SUMPRODUCT(("Var_Cap"=[1]OUT_TransportEnergyCons!$B$4:$B$10000)*1,("-"=[1]OUT_TransportEnergyCons!$C$4:$C$10000)*1,ISNUMBER(SEARCH("T_C*hy*dsl*s2",[1]OUT_TransportEnergyCons!$A$4:$A$10000))*1,[1]OUT_TransportEnergyCons!I$4:I$10000)</f>
        <v>0.13982255634717072</v>
      </c>
    </row>
    <row r="1933" spans="2:11" x14ac:dyDescent="0.35">
      <c r="B1933" s="5" t="str">
        <f t="shared" si="1247"/>
        <v>SPS4</v>
      </c>
      <c r="C1933" s="5" t="str">
        <f t="shared" si="1245"/>
        <v>CH</v>
      </c>
      <c r="D1933" t="s">
        <v>1956</v>
      </c>
      <c r="E1933" t="str">
        <f t="shared" si="1246"/>
        <v>Million</v>
      </c>
      <c r="F1933" s="1" cm="1">
        <f t="array" ref="F1933">SUMPRODUCT(("Var_Cap"=[1]OUT_TransportEnergyCons!$B$4:$B$10000)*1,("-"=[1]OUT_TransportEnergyCons!$C$4:$C$10000)*1,ISNUMBER(SEARCH("T_C*hy*dsl*s3",[1]OUT_TransportEnergyCons!$A$4:$A$10000))*1,[1]OUT_TransportEnergyCons!D$4:D$10000)</f>
        <v>1.8560218584746683E-3</v>
      </c>
      <c r="G1933" s="1" cm="1">
        <f t="array" ref="G1933">SUMPRODUCT(("Var_Cap"=[1]OUT_TransportEnergyCons!$B$4:$B$10000)*1,("-"=[1]OUT_TransportEnergyCons!$C$4:$C$10000)*1,ISNUMBER(SEARCH("T_C*hy*dsl*s3",[1]OUT_TransportEnergyCons!$A$4:$A$10000))*1,[1]OUT_TransportEnergyCons!E$4:E$10000)</f>
        <v>3.7639470845839433E-3</v>
      </c>
      <c r="H1933" s="1" cm="1">
        <f t="array" ref="H1933">SUMPRODUCT(("Var_Cap"=[1]OUT_TransportEnergyCons!$B$4:$B$10000)*1,("-"=[1]OUT_TransportEnergyCons!$C$4:$C$10000)*1,ISNUMBER(SEARCH("T_C*hy*dsl*s3",[1]OUT_TransportEnergyCons!$A$4:$A$10000))*1,[1]OUT_TransportEnergyCons!F$4:F$10000)</f>
        <v>3.6528740337992962E-3</v>
      </c>
      <c r="I1933" s="1" cm="1">
        <f t="array" ref="I1933">SUMPRODUCT(("Var_Cap"=[1]OUT_TransportEnergyCons!$B$4:$B$10000)*1,("-"=[1]OUT_TransportEnergyCons!$C$4:$C$10000)*1,ISNUMBER(SEARCH("T_C*hy*dsl*s3",[1]OUT_TransportEnergyCons!$A$4:$A$10000))*1,[1]OUT_TransportEnergyCons!G$4:G$10000)</f>
        <v>3.0982960153227955E-3</v>
      </c>
      <c r="J1933" s="1" cm="1">
        <f t="array" ref="J1933">SUMPRODUCT(("Var_Cap"=[1]OUT_TransportEnergyCons!$B$4:$B$10000)*1,("-"=[1]OUT_TransportEnergyCons!$C$4:$C$10000)*1,ISNUMBER(SEARCH("T_C*hy*dsl*s3",[1]OUT_TransportEnergyCons!$A$4:$A$10000))*1,[1]OUT_TransportEnergyCons!H$4:H$10000)</f>
        <v>4.5756676960586232E-2</v>
      </c>
      <c r="K1933" s="1" cm="1">
        <f t="array" ref="K1933">SUMPRODUCT(("Var_Cap"=[1]OUT_TransportEnergyCons!$B$4:$B$10000)*1,("-"=[1]OUT_TransportEnergyCons!$C$4:$C$10000)*1,ISNUMBER(SEARCH("T_C*hy*dsl*s3",[1]OUT_TransportEnergyCons!$A$4:$A$10000))*1,[1]OUT_TransportEnergyCons!I$4:I$10000)</f>
        <v>8.5956679784544243E-2</v>
      </c>
    </row>
    <row r="1934" spans="2:11" x14ac:dyDescent="0.35">
      <c r="B1934" s="5" t="str">
        <f t="shared" si="1247"/>
        <v>SPS4</v>
      </c>
      <c r="C1934" s="5" t="str">
        <f t="shared" si="1245"/>
        <v>CH</v>
      </c>
      <c r="D1934" t="s">
        <v>1957</v>
      </c>
      <c r="E1934" t="str">
        <f t="shared" si="1246"/>
        <v>Million</v>
      </c>
      <c r="F1934" s="1" cm="1">
        <f t="array" ref="F1934">SUMPRODUCT(("Var_Cap"=[1]OUT_TransportEnergyCons!$B$4:$B$10000)*1,("-"=[1]OUT_TransportEnergyCons!$C$4:$C$10000)*1,ISNUMBER(SEARCH("T_C*hy*dsl*s4",[1]OUT_TransportEnergyCons!$A$4:$A$10000))*1,[1]OUT_TransportEnergyCons!D$4:D$10000)</f>
        <v>3.7726563204982435E-3</v>
      </c>
      <c r="G1934" s="1" cm="1">
        <f t="array" ref="G1934">SUMPRODUCT(("Var_Cap"=[1]OUT_TransportEnergyCons!$B$4:$B$10000)*1,("-"=[1]OUT_TransportEnergyCons!$C$4:$C$10000)*1,ISNUMBER(SEARCH("T_C*hy*dsl*s4",[1]OUT_TransportEnergyCons!$A$4:$A$10000))*1,[1]OUT_TransportEnergyCons!E$4:E$10000)</f>
        <v>8.8678063681472616E-3</v>
      </c>
      <c r="H1934" s="1" cm="1">
        <f t="array" ref="H1934">SUMPRODUCT(("Var_Cap"=[1]OUT_TransportEnergyCons!$B$4:$B$10000)*1,("-"=[1]OUT_TransportEnergyCons!$C$4:$C$10000)*1,ISNUMBER(SEARCH("T_C*hy*dsl*s4",[1]OUT_TransportEnergyCons!$A$4:$A$10000))*1,[1]OUT_TransportEnergyCons!F$4:F$10000)</f>
        <v>8.5027931289644899E-3</v>
      </c>
      <c r="I1934" s="1" cm="1">
        <f t="array" ref="I1934">SUMPRODUCT(("Var_Cap"=[1]OUT_TransportEnergyCons!$B$4:$B$10000)*1,("-"=[1]OUT_TransportEnergyCons!$C$4:$C$10000)*1,ISNUMBER(SEARCH("T_C*hy*dsl*s4",[1]OUT_TransportEnergyCons!$A$4:$A$10000))*1,[1]OUT_TransportEnergyCons!G$4:G$10000)</f>
        <v>7.1666675161126516E-3</v>
      </c>
      <c r="J1934" s="1" cm="1">
        <f t="array" ref="J1934">SUMPRODUCT(("Var_Cap"=[1]OUT_TransportEnergyCons!$B$4:$B$10000)*1,("-"=[1]OUT_TransportEnergyCons!$C$4:$C$10000)*1,ISNUMBER(SEARCH("T_C*hy*dsl*s4",[1]OUT_TransportEnergyCons!$A$4:$A$10000))*1,[1]OUT_TransportEnergyCons!H$4:H$10000)</f>
        <v>1.563701238763331E-4</v>
      </c>
      <c r="K1934" s="1" cm="1">
        <f t="array" ref="K1934">SUMPRODUCT(("Var_Cap"=[1]OUT_TransportEnergyCons!$B$4:$B$10000)*1,("-"=[1]OUT_TransportEnergyCons!$C$4:$C$10000)*1,ISNUMBER(SEARCH("T_C*hy*dsl*s4",[1]OUT_TransportEnergyCons!$A$4:$A$10000))*1,[1]OUT_TransportEnergyCons!I$4:I$10000)</f>
        <v>1.947510672668458E-4</v>
      </c>
    </row>
    <row r="1935" spans="2:11" x14ac:dyDescent="0.35">
      <c r="B1935" s="5" t="str">
        <f t="shared" si="1247"/>
        <v>SPS4</v>
      </c>
      <c r="C1935" s="5" t="str">
        <f t="shared" si="1245"/>
        <v>CH</v>
      </c>
      <c r="D1935" t="s">
        <v>1958</v>
      </c>
      <c r="E1935" t="str">
        <f t="shared" si="1246"/>
        <v>Million</v>
      </c>
      <c r="F1935" s="1" cm="1">
        <f t="array" ref="F1935">SUMPRODUCT(("Var_Cap"=[1]OUT_TransportEnergyCons!$B$4:$B$10000)*1,("-"=[1]OUT_TransportEnergyCons!$C$4:$C$10000)*1,ISNUMBER(SEARCH("T_C*ICE*dsl*ext",[1]OUT_TransportEnergyCons!$A$4:$A$10000))*1,[1]OUT_TransportEnergyCons!D$4:D$10000)</f>
        <v>1.059558</v>
      </c>
      <c r="G1935" s="1" cm="1">
        <f t="array" ref="G1935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35" s="1" cm="1">
        <f t="array" ref="H1935">SUMPRODUCT(("Var_Cap"=[1]OUT_TransportEnergyCons!$B$4:$B$10000)*1,("-"=[1]OUT_TransportEnergyCons!$C$4:$C$10000)*1,ISNUMBER(SEARCH("T_C*ICE*dsl*ext",[1]OUT_TransportEnergyCons!$A$4:$A$10000))*1,[1]OUT_TransportEnergyCons!F$4:F$10000)</f>
        <v>0.70637194088548405</v>
      </c>
      <c r="I1935" s="1" cm="1">
        <f t="array" ref="I1935">SUMPRODUCT(("Var_Cap"=[1]OUT_TransportEnergyCons!$B$4:$B$10000)*1,("-"=[1]OUT_TransportEnergyCons!$C$4:$C$10000)*1,ISNUMBER(SEARCH("T_C*ICE*dsl*ext",[1]OUT_TransportEnergyCons!$A$4:$A$10000))*1,[1]OUT_TransportEnergyCons!G$4:G$10000)</f>
        <v>0.35318471930723938</v>
      </c>
      <c r="J1935" s="1" cm="1">
        <f t="array" ref="J1935">SUMPRODUCT(("Var_Cap"=[1]OUT_TransportEnergyCons!$B$4:$B$10000)*1,("-"=[1]OUT_TransportEnergyCons!$C$4:$C$10000)*1,ISNUMBER(SEARCH("T_C*ICE*dsl*ext",[1]OUT_TransportEnergyCons!$A$4:$A$10000))*1,[1]OUT_TransportEnergyCons!H$4:H$10000)</f>
        <v>0</v>
      </c>
      <c r="K1935" s="1" cm="1">
        <f t="array" ref="K1935">SUMPRODUCT(("Var_Cap"=[1]OUT_TransportEnergyCons!$B$4:$B$10000)*1,("-"=[1]OUT_TransportEnergyCons!$C$4:$C$10000)*1,ISNUMBER(SEARCH("T_C*ICE*dsl*ext",[1]OUT_TransportEnergyCons!$A$4:$A$10000))*1,[1]OUT_TransportEnergyCons!I$4:I$10000)</f>
        <v>0</v>
      </c>
    </row>
    <row r="1936" spans="2:11" x14ac:dyDescent="0.35">
      <c r="B1936" s="5" t="str">
        <f t="shared" si="1247"/>
        <v>SPS4</v>
      </c>
      <c r="C1936" s="5" t="str">
        <f t="shared" si="1245"/>
        <v>CH</v>
      </c>
      <c r="D1936" t="s">
        <v>1959</v>
      </c>
      <c r="E1936" t="str">
        <f t="shared" si="1246"/>
        <v>Million</v>
      </c>
      <c r="F1936" s="1" cm="1">
        <f t="array" ref="F1936">SUMPRODUCT(("Var_Cap"=[1]OUT_TransportEnergyCons!$B$4:$B$10000)*1,("-"=[1]OUT_TransportEnergyCons!$C$4:$C$10000)*1,ISNUMBER(SEARCH("T_C*ICE*dsl*s1",[1]OUT_TransportEnergyCons!$A$4:$A$10000))*1,[1]OUT_TransportEnergyCons!D$4:D$10000)</f>
        <v>4.4453680566223846E-4</v>
      </c>
      <c r="G1936" s="1" cm="1">
        <f t="array" ref="G1936">SUMPRODUCT(("Var_Cap"=[1]OUT_TransportEnergyCons!$B$4:$B$10000)*1,("-"=[1]OUT_TransportEnergyCons!$C$4:$C$10000)*1,ISNUMBER(SEARCH("T_C*ICE*dsl*s1",[1]OUT_TransportEnergyCons!$A$4:$A$10000))*1,[1]OUT_TransportEnergyCons!E$4:E$10000)</f>
        <v>5.0200995586015685E-4</v>
      </c>
      <c r="H1936" s="1" cm="1">
        <f t="array" ref="H1936">SUMPRODUCT(("Var_Cap"=[1]OUT_TransportEnergyCons!$B$4:$B$10000)*1,("-"=[1]OUT_TransportEnergyCons!$C$4:$C$10000)*1,ISNUMBER(SEARCH("T_C*ICE*dsl*s1",[1]OUT_TransportEnergyCons!$A$4:$A$10000))*1,[1]OUT_TransportEnergyCons!F$4:F$10000)</f>
        <v>5.6567820494384294E-4</v>
      </c>
      <c r="I1936" s="1" cm="1">
        <f t="array" ref="I1936">SUMPRODUCT(("Var_Cap"=[1]OUT_TransportEnergyCons!$B$4:$B$10000)*1,("-"=[1]OUT_TransportEnergyCons!$C$4:$C$10000)*1,ISNUMBER(SEARCH("T_C*ICE*dsl*s1",[1]OUT_TransportEnergyCons!$A$4:$A$10000))*1,[1]OUT_TransportEnergyCons!G$4:G$10000)</f>
        <v>4.4120508141478406E-4</v>
      </c>
      <c r="J1936" s="1" cm="1">
        <f t="array" ref="J1936">SUMPRODUCT(("Var_Cap"=[1]OUT_TransportEnergyCons!$B$4:$B$10000)*1,("-"=[1]OUT_TransportEnergyCons!$C$4:$C$10000)*1,ISNUMBER(SEARCH("T_C*ICE*dsl*s1",[1]OUT_TransportEnergyCons!$A$4:$A$10000))*1,[1]OUT_TransportEnergyCons!H$4:H$10000)</f>
        <v>5.9726606577080032E-5</v>
      </c>
      <c r="K1936" s="1" cm="1">
        <f t="array" ref="K1936">SUMPRODUCT(("Var_Cap"=[1]OUT_TransportEnergyCons!$B$4:$B$10000)*1,("-"=[1]OUT_TransportEnergyCons!$C$4:$C$10000)*1,ISNUMBER(SEARCH("T_C*ICE*dsl*s1",[1]OUT_TransportEnergyCons!$A$4:$A$10000))*1,[1]OUT_TransportEnergyCons!I$4:I$10000)</f>
        <v>2.2731573964769355E-5</v>
      </c>
    </row>
    <row r="1937" spans="2:11" x14ac:dyDescent="0.35">
      <c r="B1937" s="5" t="str">
        <f t="shared" si="1247"/>
        <v>SPS4</v>
      </c>
      <c r="C1937" s="5" t="str">
        <f t="shared" si="1245"/>
        <v>CH</v>
      </c>
      <c r="D1937" t="s">
        <v>1960</v>
      </c>
      <c r="E1937" t="str">
        <f t="shared" si="1246"/>
        <v>Million</v>
      </c>
      <c r="F1937" s="1" cm="1">
        <f t="array" ref="F1937">SUMPRODUCT(("Var_Cap"=[1]OUT_TransportEnergyCons!$B$4:$B$10000)*1,("-"=[1]OUT_TransportEnergyCons!$C$4:$C$10000)*1,ISNUMBER(SEARCH("T_C*ICE*dsl*s2",[1]OUT_TransportEnergyCons!$A$4:$A$10000))*1,[1]OUT_TransportEnergyCons!D$4:D$10000)</f>
        <v>6.456872267040295E-2</v>
      </c>
      <c r="G1937" s="1" cm="1">
        <f t="array" ref="G1937">SUMPRODUCT(("Var_Cap"=[1]OUT_TransportEnergyCons!$B$4:$B$10000)*1,("-"=[1]OUT_TransportEnergyCons!$C$4:$C$10000)*1,ISNUMBER(SEARCH("T_C*ICE*dsl*s2",[1]OUT_TransportEnergyCons!$A$4:$A$10000))*1,[1]OUT_TransportEnergyCons!E$4:E$10000)</f>
        <v>6.8521019372631109E-2</v>
      </c>
      <c r="H1937" s="1" cm="1">
        <f t="array" ref="H1937">SUMPRODUCT(("Var_Cap"=[1]OUT_TransportEnergyCons!$B$4:$B$10000)*1,("-"=[1]OUT_TransportEnergyCons!$C$4:$C$10000)*1,ISNUMBER(SEARCH("T_C*ICE*dsl*s2",[1]OUT_TransportEnergyCons!$A$4:$A$10000))*1,[1]OUT_TransportEnergyCons!F$4:F$10000)</f>
        <v>6.7943194436534821E-2</v>
      </c>
      <c r="I1937" s="1" cm="1">
        <f t="array" ref="I1937">SUMPRODUCT(("Var_Cap"=[1]OUT_TransportEnergyCons!$B$4:$B$10000)*1,("-"=[1]OUT_TransportEnergyCons!$C$4:$C$10000)*1,ISNUMBER(SEARCH("T_C*ICE*dsl*s2",[1]OUT_TransportEnergyCons!$A$4:$A$10000))*1,[1]OUT_TransportEnergyCons!G$4:G$10000)</f>
        <v>5.153900911467349E-2</v>
      </c>
      <c r="J1937" s="1" cm="1">
        <f t="array" ref="J1937">SUMPRODUCT(("Var_Cap"=[1]OUT_TransportEnergyCons!$B$4:$B$10000)*1,("-"=[1]OUT_TransportEnergyCons!$C$4:$C$10000)*1,ISNUMBER(SEARCH("T_C*ICE*dsl*s2",[1]OUT_TransportEnergyCons!$A$4:$A$10000))*1,[1]OUT_TransportEnergyCons!H$4:H$10000)</f>
        <v>5.3420943443665334E-5</v>
      </c>
      <c r="K1937" s="1" cm="1">
        <f t="array" ref="K1937">SUMPRODUCT(("Var_Cap"=[1]OUT_TransportEnergyCons!$B$4:$B$10000)*1,("-"=[1]OUT_TransportEnergyCons!$C$4:$C$10000)*1,ISNUMBER(SEARCH("T_C*ICE*dsl*s2",[1]OUT_TransportEnergyCons!$A$4:$A$10000))*1,[1]OUT_TransportEnergyCons!I$4:I$10000)</f>
        <v>2.0927818386418964E-5</v>
      </c>
    </row>
    <row r="1938" spans="2:11" x14ac:dyDescent="0.35">
      <c r="B1938" s="5" t="str">
        <f t="shared" si="1247"/>
        <v>SPS4</v>
      </c>
      <c r="C1938" s="5" t="str">
        <f t="shared" si="1245"/>
        <v>CH</v>
      </c>
      <c r="D1938" t="s">
        <v>1961</v>
      </c>
      <c r="E1938" t="str">
        <f t="shared" si="1246"/>
        <v>Million</v>
      </c>
      <c r="F1938" s="1" cm="1">
        <f t="array" ref="F1938">SUMPRODUCT(("Var_Cap"=[1]OUT_TransportEnergyCons!$B$4:$B$10000)*1,("-"=[1]OUT_TransportEnergyCons!$C$4:$C$10000)*1,ISNUMBER(SEARCH("T_C*ICE*dsl*s3",[1]OUT_TransportEnergyCons!$A$4:$A$10000))*1,[1]OUT_TransportEnergyCons!D$4:D$10000)</f>
        <v>0.18324065859782301</v>
      </c>
      <c r="G1938" s="1" cm="1">
        <f t="array" ref="G1938">SUMPRODUCT(("Var_Cap"=[1]OUT_TransportEnergyCons!$B$4:$B$10000)*1,("-"=[1]OUT_TransportEnergyCons!$C$4:$C$10000)*1,ISNUMBER(SEARCH("T_C*ICE*dsl*s3",[1]OUT_TransportEnergyCons!$A$4:$A$10000))*1,[1]OUT_TransportEnergyCons!E$4:E$10000)</f>
        <v>0.19501297489997299</v>
      </c>
      <c r="H1938" s="1" cm="1">
        <f t="array" ref="H1938">SUMPRODUCT(("Var_Cap"=[1]OUT_TransportEnergyCons!$B$4:$B$10000)*1,("-"=[1]OUT_TransportEnergyCons!$C$4:$C$10000)*1,ISNUMBER(SEARCH("T_C*ICE*dsl*s3",[1]OUT_TransportEnergyCons!$A$4:$A$10000))*1,[1]OUT_TransportEnergyCons!F$4:F$10000)</f>
        <v>0.19300658716708124</v>
      </c>
      <c r="I1938" s="1" cm="1">
        <f t="array" ref="I1938">SUMPRODUCT(("Var_Cap"=[1]OUT_TransportEnergyCons!$B$4:$B$10000)*1,("-"=[1]OUT_TransportEnergyCons!$C$4:$C$10000)*1,ISNUMBER(SEARCH("T_C*ICE*dsl*s3",[1]OUT_TransportEnergyCons!$A$4:$A$10000))*1,[1]OUT_TransportEnergyCons!G$4:G$10000)</f>
        <v>0.14997753158019514</v>
      </c>
      <c r="J1938" s="1" cm="1">
        <f t="array" ref="J1938">SUMPRODUCT(("Var_Cap"=[1]OUT_TransportEnergyCons!$B$4:$B$10000)*1,("-"=[1]OUT_TransportEnergyCons!$C$4:$C$10000)*1,ISNUMBER(SEARCH("T_C*ICE*dsl*s3",[1]OUT_TransportEnergyCons!$A$4:$A$10000))*1,[1]OUT_TransportEnergyCons!H$4:H$10000)</f>
        <v>4.5725416765580699E-5</v>
      </c>
      <c r="K1938" s="1" cm="1">
        <f t="array" ref="K1938">SUMPRODUCT(("Var_Cap"=[1]OUT_TransportEnergyCons!$B$4:$B$10000)*1,("-"=[1]OUT_TransportEnergyCons!$C$4:$C$10000)*1,ISNUMBER(SEARCH("T_C*ICE*dsl*s3",[1]OUT_TransportEnergyCons!$A$4:$A$10000))*1,[1]OUT_TransportEnergyCons!I$4:I$10000)</f>
        <v>2.0969287833075E-5</v>
      </c>
    </row>
    <row r="1939" spans="2:11" x14ac:dyDescent="0.35">
      <c r="B1939" s="5" t="str">
        <f t="shared" si="1247"/>
        <v>SPS4</v>
      </c>
      <c r="C1939" s="5" t="str">
        <f t="shared" si="1245"/>
        <v>CH</v>
      </c>
      <c r="D1939" t="s">
        <v>1962</v>
      </c>
      <c r="E1939" t="str">
        <f t="shared" si="1246"/>
        <v>Million</v>
      </c>
      <c r="F1939" s="1" cm="1">
        <f t="array" ref="F1939">SUMPRODUCT(("Var_Cap"=[1]OUT_TransportEnergyCons!$B$4:$B$10000)*1,("-"=[1]OUT_TransportEnergyCons!$C$4:$C$10000)*1,ISNUMBER(SEARCH("T_C*ICE*dsl*s4",[1]OUT_TransportEnergyCons!$A$4:$A$10000))*1,[1]OUT_TransportEnergyCons!D$4:D$10000)</f>
        <v>7.1261613035363366E-2</v>
      </c>
      <c r="G1939" s="1" cm="1">
        <f t="array" ref="G1939">SUMPRODUCT(("Var_Cap"=[1]OUT_TransportEnergyCons!$B$4:$B$10000)*1,("-"=[1]OUT_TransportEnergyCons!$C$4:$C$10000)*1,ISNUMBER(SEARCH("T_C*ICE*dsl*s4",[1]OUT_TransportEnergyCons!$A$4:$A$10000))*1,[1]OUT_TransportEnergyCons!E$4:E$10000)</f>
        <v>7.9344018455557316E-2</v>
      </c>
      <c r="H1939" s="1" cm="1">
        <f t="array" ref="H1939">SUMPRODUCT(("Var_Cap"=[1]OUT_TransportEnergyCons!$B$4:$B$10000)*1,("-"=[1]OUT_TransportEnergyCons!$C$4:$C$10000)*1,ISNUMBER(SEARCH("T_C*ICE*dsl*s4",[1]OUT_TransportEnergyCons!$A$4:$A$10000))*1,[1]OUT_TransportEnergyCons!F$4:F$10000)</f>
        <v>7.8221152945584363E-2</v>
      </c>
      <c r="I1939" s="1" cm="1">
        <f t="array" ref="I1939">SUMPRODUCT(("Var_Cap"=[1]OUT_TransportEnergyCons!$B$4:$B$10000)*1,("-"=[1]OUT_TransportEnergyCons!$C$4:$C$10000)*1,ISNUMBER(SEARCH("T_C*ICE*dsl*s4",[1]OUT_TransportEnergyCons!$A$4:$A$10000))*1,[1]OUT_TransportEnergyCons!G$4:G$10000)</f>
        <v>6.1078606277579633E-2</v>
      </c>
      <c r="J1939" s="1" cm="1">
        <f t="array" ref="J1939">SUMPRODUCT(("Var_Cap"=[1]OUT_TransportEnergyCons!$B$4:$B$10000)*1,("-"=[1]OUT_TransportEnergyCons!$C$4:$C$10000)*1,ISNUMBER(SEARCH("T_C*ICE*dsl*s4",[1]OUT_TransportEnergyCons!$A$4:$A$10000))*1,[1]OUT_TransportEnergyCons!H$4:H$10000)</f>
        <v>3.0398325433592569E-5</v>
      </c>
      <c r="K1939" s="1" cm="1">
        <f t="array" ref="K1939">SUMPRODUCT(("Var_Cap"=[1]OUT_TransportEnergyCons!$B$4:$B$10000)*1,("-"=[1]OUT_TransportEnergyCons!$C$4:$C$10000)*1,ISNUMBER(SEARCH("T_C*ICE*dsl*s4",[1]OUT_TransportEnergyCons!$A$4:$A$10000))*1,[1]OUT_TransportEnergyCons!I$4:I$10000)</f>
        <v>1.5660177965630601E-5</v>
      </c>
    </row>
    <row r="1940" spans="2:11" x14ac:dyDescent="0.35">
      <c r="B1940" s="5" t="str">
        <f t="shared" si="1247"/>
        <v>SPS4</v>
      </c>
      <c r="C1940" s="5" t="str">
        <f t="shared" si="1245"/>
        <v>CH</v>
      </c>
      <c r="D1940" t="s">
        <v>1963</v>
      </c>
      <c r="E1940" t="str">
        <f t="shared" si="1246"/>
        <v>Million</v>
      </c>
      <c r="F1940" s="1" cm="1">
        <f t="array" ref="F1940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0" s="1" cm="1">
        <f t="array" ref="G1940">SUMPRODUCT(("Var_Cap"=[1]OUT_TransportEnergyCons!$B$4:$B$10000)*1,("-"=[1]OUT_TransportEnergyCons!$C$4:$C$10000)*1,ISNUMBER(SEARCH("T_C*mhy*dsl*s1",[1]OUT_TransportEnergyCons!$A$4:$A$10000))*1,[1]OUT_TransportEnergyCons!E$4:E$10000)</f>
        <v>2.63372487505692E-5</v>
      </c>
      <c r="H1940" s="1" cm="1">
        <f t="array" ref="H1940">SUMPRODUCT(("Var_Cap"=[1]OUT_TransportEnergyCons!$B$4:$B$10000)*1,("-"=[1]OUT_TransportEnergyCons!$C$4:$C$10000)*1,ISNUMBER(SEARCH("T_C*mhy*dsl*s1",[1]OUT_TransportEnergyCons!$A$4:$A$10000))*1,[1]OUT_TransportEnergyCons!F$4:F$10000)</f>
        <v>1.25804193485101E-2</v>
      </c>
      <c r="I1940" s="1" cm="1">
        <f t="array" ref="I1940">SUMPRODUCT(("Var_Cap"=[1]OUT_TransportEnergyCons!$B$4:$B$10000)*1,("-"=[1]OUT_TransportEnergyCons!$C$4:$C$10000)*1,ISNUMBER(SEARCH("T_C*mhy*dsl*s1",[1]OUT_TransportEnergyCons!$A$4:$A$10000))*1,[1]OUT_TransportEnergyCons!G$4:G$10000)</f>
        <v>0.15092086738049801</v>
      </c>
      <c r="J1940" s="1" cm="1">
        <f t="array" ref="J1940">SUMPRODUCT(("Var_Cap"=[1]OUT_TransportEnergyCons!$B$4:$B$10000)*1,("-"=[1]OUT_TransportEnergyCons!$C$4:$C$10000)*1,ISNUMBER(SEARCH("T_C*mhy*dsl*s1",[1]OUT_TransportEnergyCons!$A$4:$A$10000))*1,[1]OUT_TransportEnergyCons!H$4:H$10000)</f>
        <v>6.2538501210240793E-2</v>
      </c>
      <c r="K1940" s="1" cm="1">
        <f t="array" ref="K1940">SUMPRODUCT(("Var_Cap"=[1]OUT_TransportEnergyCons!$B$4:$B$10000)*1,("-"=[1]OUT_TransportEnergyCons!$C$4:$C$10000)*1,ISNUMBER(SEARCH("T_C*mhy*dsl*s1",[1]OUT_TransportEnergyCons!$A$4:$A$10000))*1,[1]OUT_TransportEnergyCons!I$4:I$10000)</f>
        <v>1.5107788280309599E-3</v>
      </c>
    </row>
    <row r="1941" spans="2:11" x14ac:dyDescent="0.35">
      <c r="B1941" s="5" t="str">
        <f t="shared" si="1247"/>
        <v>SPS4</v>
      </c>
      <c r="C1941" s="5" t="str">
        <f t="shared" si="1245"/>
        <v>CH</v>
      </c>
      <c r="D1941" t="s">
        <v>1964</v>
      </c>
      <c r="E1941" t="str">
        <f t="shared" si="1246"/>
        <v>Million</v>
      </c>
      <c r="F1941" s="1" cm="1">
        <f t="array" ref="F1941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1" s="1" cm="1">
        <f t="array" ref="G1941">SUMPRODUCT(("Var_Cap"=[1]OUT_TransportEnergyCons!$B$4:$B$10000)*1,("-"=[1]OUT_TransportEnergyCons!$C$4:$C$10000)*1,ISNUMBER(SEARCH("T_C*mhy*dsl*s2",[1]OUT_TransportEnergyCons!$A$4:$A$10000))*1,[1]OUT_TransportEnergyCons!E$4:E$10000)</f>
        <v>1.0621339107931701E-5</v>
      </c>
      <c r="H1941" s="1" cm="1">
        <f t="array" ref="H1941">SUMPRODUCT(("Var_Cap"=[1]OUT_TransportEnergyCons!$B$4:$B$10000)*1,("-"=[1]OUT_TransportEnergyCons!$C$4:$C$10000)*1,ISNUMBER(SEARCH("T_C*mhy*dsl*s2",[1]OUT_TransportEnergyCons!$A$4:$A$10000))*1,[1]OUT_TransportEnergyCons!F$4:F$10000)</f>
        <v>7.6461581282970798E-5</v>
      </c>
      <c r="I1941" s="1" cm="1">
        <f t="array" ref="I1941">SUMPRODUCT(("Var_Cap"=[1]OUT_TransportEnergyCons!$B$4:$B$10000)*1,("-"=[1]OUT_TransportEnergyCons!$C$4:$C$10000)*1,ISNUMBER(SEARCH("T_C*mhy*dsl*s2",[1]OUT_TransportEnergyCons!$A$4:$A$10000))*1,[1]OUT_TransportEnergyCons!G$4:G$10000)</f>
        <v>7.8005539305712702E-3</v>
      </c>
      <c r="J1941" s="1" cm="1">
        <f t="array" ref="J1941">SUMPRODUCT(("Var_Cap"=[1]OUT_TransportEnergyCons!$B$4:$B$10000)*1,("-"=[1]OUT_TransportEnergyCons!$C$4:$C$10000)*1,ISNUMBER(SEARCH("T_C*mhy*dsl*s2",[1]OUT_TransportEnergyCons!$A$4:$A$10000))*1,[1]OUT_TransportEnergyCons!H$4:H$10000)</f>
        <v>3.3873565325603702E-3</v>
      </c>
      <c r="K1941" s="1" cm="1">
        <f t="array" ref="K1941">SUMPRODUCT(("Var_Cap"=[1]OUT_TransportEnergyCons!$B$4:$B$10000)*1,("-"=[1]OUT_TransportEnergyCons!$C$4:$C$10000)*1,ISNUMBER(SEARCH("T_C*mhy*dsl*s2",[1]OUT_TransportEnergyCons!$A$4:$A$10000))*1,[1]OUT_TransportEnergyCons!I$4:I$10000)</f>
        <v>1.1268074173502699E-4</v>
      </c>
    </row>
    <row r="1942" spans="2:11" x14ac:dyDescent="0.35">
      <c r="B1942" s="5" t="str">
        <f t="shared" si="1247"/>
        <v>SPS4</v>
      </c>
      <c r="C1942" s="5" t="str">
        <f t="shared" si="1245"/>
        <v>CH</v>
      </c>
      <c r="D1942" t="s">
        <v>1965</v>
      </c>
      <c r="E1942" t="str">
        <f t="shared" si="1246"/>
        <v>Million</v>
      </c>
      <c r="F1942" s="1" cm="1">
        <f t="array" ref="F1942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2" s="1" cm="1">
        <f t="array" ref="G1942">SUMPRODUCT(("Var_Cap"=[1]OUT_TransportEnergyCons!$B$4:$B$10000)*1,("-"=[1]OUT_TransportEnergyCons!$C$4:$C$10000)*1,ISNUMBER(SEARCH("T_C*mhy*dsl*s3",[1]OUT_TransportEnergyCons!$A$4:$A$10000))*1,[1]OUT_TransportEnergyCons!E$4:E$10000)</f>
        <v>1.21584805884934E-5</v>
      </c>
      <c r="H1942" s="1" cm="1">
        <f t="array" ref="H1942">SUMPRODUCT(("Var_Cap"=[1]OUT_TransportEnergyCons!$B$4:$B$10000)*1,("-"=[1]OUT_TransportEnergyCons!$C$4:$C$10000)*1,ISNUMBER(SEARCH("T_C*mhy*dsl*s3",[1]OUT_TransportEnergyCons!$A$4:$A$10000))*1,[1]OUT_TransportEnergyCons!F$4:F$10000)</f>
        <v>5.5996652733187702E-5</v>
      </c>
      <c r="I1942" s="1" cm="1">
        <f t="array" ref="I1942">SUMPRODUCT(("Var_Cap"=[1]OUT_TransportEnergyCons!$B$4:$B$10000)*1,("-"=[1]OUT_TransportEnergyCons!$C$4:$C$10000)*1,ISNUMBER(SEARCH("T_C*mhy*dsl*s3",[1]OUT_TransportEnergyCons!$A$4:$A$10000))*1,[1]OUT_TransportEnergyCons!G$4:G$10000)</f>
        <v>2.2448450351880901E-4</v>
      </c>
      <c r="J1942" s="1" cm="1">
        <f t="array" ref="J1942">SUMPRODUCT(("Var_Cap"=[1]OUT_TransportEnergyCons!$B$4:$B$10000)*1,("-"=[1]OUT_TransportEnergyCons!$C$4:$C$10000)*1,ISNUMBER(SEARCH("T_C*mhy*dsl*s3",[1]OUT_TransportEnergyCons!$A$4:$A$10000))*1,[1]OUT_TransportEnergyCons!H$4:H$10000)</f>
        <v>4.5701500389044601E-2</v>
      </c>
      <c r="K1942" s="1" cm="1">
        <f t="array" ref="K1942">SUMPRODUCT(("Var_Cap"=[1]OUT_TransportEnergyCons!$B$4:$B$10000)*1,("-"=[1]OUT_TransportEnergyCons!$C$4:$C$10000)*1,ISNUMBER(SEARCH("T_C*mhy*dsl*s3",[1]OUT_TransportEnergyCons!$A$4:$A$10000))*1,[1]OUT_TransportEnergyCons!I$4:I$10000)</f>
        <v>8.5919258509624105E-2</v>
      </c>
    </row>
    <row r="1943" spans="2:11" x14ac:dyDescent="0.35">
      <c r="B1943" s="5" t="str">
        <f t="shared" si="1247"/>
        <v>SPS4</v>
      </c>
      <c r="C1943" s="5" t="str">
        <f t="shared" si="1245"/>
        <v>CH</v>
      </c>
      <c r="D1943" t="s">
        <v>1966</v>
      </c>
      <c r="E1943" t="str">
        <f t="shared" si="1246"/>
        <v>Million</v>
      </c>
      <c r="F1943" s="1" cm="1">
        <f t="array" ref="F1943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3" s="1" cm="1">
        <f t="array" ref="G1943">SUMPRODUCT(("Var_Cap"=[1]OUT_TransportEnergyCons!$B$4:$B$10000)*1,("-"=[1]OUT_TransportEnergyCons!$C$4:$C$10000)*1,ISNUMBER(SEARCH("T_C*mhy*dsl*s4",[1]OUT_TransportEnergyCons!$A$4:$A$10000))*1,[1]OUT_TransportEnergyCons!E$4:E$10000)</f>
        <v>8.8029246646963802E-6</v>
      </c>
      <c r="H1943" s="1" cm="1">
        <f t="array" ref="H1943">SUMPRODUCT(("Var_Cap"=[1]OUT_TransportEnergyCons!$B$4:$B$10000)*1,("-"=[1]OUT_TransportEnergyCons!$C$4:$C$10000)*1,ISNUMBER(SEARCH("T_C*mhy*dsl*s4",[1]OUT_TransportEnergyCons!$A$4:$A$10000))*1,[1]OUT_TransportEnergyCons!F$4:F$10000)</f>
        <v>2.7652233263540599E-5</v>
      </c>
      <c r="I1943" s="1" cm="1">
        <f t="array" ref="I1943">SUMPRODUCT(("Var_Cap"=[1]OUT_TransportEnergyCons!$B$4:$B$10000)*1,("-"=[1]OUT_TransportEnergyCons!$C$4:$C$10000)*1,ISNUMBER(SEARCH("T_C*mhy*dsl*s4",[1]OUT_TransportEnergyCons!$A$4:$A$10000))*1,[1]OUT_TransportEnergyCons!G$4:G$10000)</f>
        <v>4.7012841491189497E-5</v>
      </c>
      <c r="J1943" s="1" cm="1">
        <f t="array" ref="J1943">SUMPRODUCT(("Var_Cap"=[1]OUT_TransportEnergyCons!$B$4:$B$10000)*1,("-"=[1]OUT_TransportEnergyCons!$C$4:$C$10000)*1,ISNUMBER(SEARCH("T_C*mhy*dsl*s4",[1]OUT_TransportEnergyCons!$A$4:$A$10000))*1,[1]OUT_TransportEnergyCons!H$4:H$10000)</f>
        <v>7.0202993101030694E-5</v>
      </c>
      <c r="K1943" s="1" cm="1">
        <f t="array" ref="K1943">SUMPRODUCT(("Var_Cap"=[1]OUT_TransportEnergyCons!$B$4:$B$10000)*1,("-"=[1]OUT_TransportEnergyCons!$C$4:$C$10000)*1,ISNUMBER(SEARCH("T_C*mhy*dsl*s4",[1]OUT_TransportEnergyCons!$A$4:$A$10000))*1,[1]OUT_TransportEnergyCons!I$4:I$10000)</f>
        <v>4.5997940948600802E-5</v>
      </c>
    </row>
    <row r="1944" spans="2:11" x14ac:dyDescent="0.35">
      <c r="B1944" s="5" t="str">
        <f t="shared" si="1247"/>
        <v>SPS4</v>
      </c>
      <c r="C1944" s="5" t="str">
        <f t="shared" si="1245"/>
        <v>CH</v>
      </c>
      <c r="D1944" t="s">
        <v>1967</v>
      </c>
      <c r="E1944" t="str">
        <f t="shared" si="1246"/>
        <v>Million</v>
      </c>
      <c r="F1944" s="1" cm="1">
        <f t="array" ref="F1944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4" s="1" cm="1">
        <f t="array" ref="G1944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4" s="1" cm="1">
        <f t="array" ref="H1944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4" s="1" cm="1">
        <f t="array" ref="I1944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4" s="1" cm="1">
        <f t="array" ref="J1944">SUMPRODUCT(("Var_Cap"=[1]OUT_TransportEnergyCons!$B$4:$B$10000)*1,("-"=[1]OUT_TransportEnergyCons!$C$4:$C$10000)*1,ISNUMBER(SEARCH("T_C*ICE*nga*ext",[1]OUT_TransportEnergyCons!$A$4:$A$10000))*1,[1]OUT_TransportEnergyCons!H$4:H$10000)</f>
        <v>0</v>
      </c>
      <c r="K1944" s="1" cm="1">
        <f t="array" ref="K1944">SUMPRODUCT(("Var_Cap"=[1]OUT_TransportEnergyCons!$B$4:$B$10000)*1,("-"=[1]OUT_TransportEnergyCons!$C$4:$C$10000)*1,ISNUMBER(SEARCH("T_C*ICE*nga*ext",[1]OUT_TransportEnergyCons!$A$4:$A$10000))*1,[1]OUT_TransportEnergyCons!I$4:I$10000)</f>
        <v>0</v>
      </c>
    </row>
    <row r="1945" spans="2:11" x14ac:dyDescent="0.35">
      <c r="B1945" s="5" t="str">
        <f t="shared" si="1247"/>
        <v>SPS4</v>
      </c>
      <c r="C1945" s="5" t="str">
        <f t="shared" si="1245"/>
        <v>CH</v>
      </c>
      <c r="D1945" t="s">
        <v>1968</v>
      </c>
      <c r="E1945" t="str">
        <f t="shared" si="1246"/>
        <v>Million</v>
      </c>
      <c r="F1945" s="1" cm="1">
        <f t="array" ref="F1945">SUMPRODUCT(("Var_Cap"=[1]OUT_TransportEnergyCons!$B$4:$B$10000)*1,("-"=[1]OUT_TransportEnergyCons!$C$4:$C$10000)*1,ISNUMBER(SEARCH("T_C*ICE*nga*s1",[1]OUT_TransportEnergyCons!$A$4:$A$10000))*1,[1]OUT_TransportEnergyCons!D$4:D$10000)</f>
        <v>2.5621798184656091E-4</v>
      </c>
      <c r="G1945" s="1" cm="1">
        <f t="array" ref="G1945">SUMPRODUCT(("Var_Cap"=[1]OUT_TransportEnergyCons!$B$4:$B$10000)*1,("-"=[1]OUT_TransportEnergyCons!$C$4:$C$10000)*1,ISNUMBER(SEARCH("T_C*ICE*nga*s1",[1]OUT_TransportEnergyCons!$A$4:$A$10000))*1,[1]OUT_TransportEnergyCons!E$4:E$10000)</f>
        <v>2.5973471147686659E-4</v>
      </c>
      <c r="H1945" s="1" cm="1">
        <f t="array" ref="H1945">SUMPRODUCT(("Var_Cap"=[1]OUT_TransportEnergyCons!$B$4:$B$10000)*1,("-"=[1]OUT_TransportEnergyCons!$C$4:$C$10000)*1,ISNUMBER(SEARCH("T_C*ICE*nga*s1",[1]OUT_TransportEnergyCons!$A$4:$A$10000))*1,[1]OUT_TransportEnergyCons!F$4:F$10000)</f>
        <v>2.6221831075895567E-4</v>
      </c>
      <c r="I1945" s="1" cm="1">
        <f t="array" ref="I1945">SUMPRODUCT(("Var_Cap"=[1]OUT_TransportEnergyCons!$B$4:$B$10000)*1,("-"=[1]OUT_TransportEnergyCons!$C$4:$C$10000)*1,ISNUMBER(SEARCH("T_C*ICE*nga*s1",[1]OUT_TransportEnergyCons!$A$4:$A$10000))*1,[1]OUT_TransportEnergyCons!G$4:G$10000)</f>
        <v>1.386498854837322E-5</v>
      </c>
      <c r="J1945" s="1" cm="1">
        <f t="array" ref="J1945">SUMPRODUCT(("Var_Cap"=[1]OUT_TransportEnergyCons!$B$4:$B$10000)*1,("-"=[1]OUT_TransportEnergyCons!$C$4:$C$10000)*1,ISNUMBER(SEARCH("T_C*ICE*nga*s1",[1]OUT_TransportEnergyCons!$A$4:$A$10000))*1,[1]OUT_TransportEnergyCons!H$4:H$10000)</f>
        <v>6.2217141976607778E-6</v>
      </c>
      <c r="K1945" s="1" cm="1">
        <f t="array" ref="K1945">SUMPRODUCT(("Var_Cap"=[1]OUT_TransportEnergyCons!$B$4:$B$10000)*1,("-"=[1]OUT_TransportEnergyCons!$C$4:$C$10000)*1,ISNUMBER(SEARCH("T_C*ICE*nga*s1",[1]OUT_TransportEnergyCons!$A$4:$A$10000))*1,[1]OUT_TransportEnergyCons!I$4:I$10000)</f>
        <v>3.9383633499336999E-6</v>
      </c>
    </row>
    <row r="1946" spans="2:11" x14ac:dyDescent="0.35">
      <c r="B1946" s="5" t="str">
        <f t="shared" si="1247"/>
        <v>SPS4</v>
      </c>
      <c r="C1946" s="5" t="str">
        <f t="shared" si="1245"/>
        <v>CH</v>
      </c>
      <c r="D1946" t="s">
        <v>1969</v>
      </c>
      <c r="E1946" t="str">
        <f t="shared" si="1246"/>
        <v>Million</v>
      </c>
      <c r="F1946" s="1" cm="1">
        <f t="array" ref="F1946">SUMPRODUCT(("Var_Cap"=[1]OUT_TransportEnergyCons!$B$4:$B$10000)*1,("-"=[1]OUT_TransportEnergyCons!$C$4:$C$10000)*1,ISNUMBER(SEARCH("T_C*ICE*nga*s2",[1]OUT_TransportEnergyCons!$A$4:$A$10000))*1,[1]OUT_TransportEnergyCons!D$4:D$10000)</f>
        <v>2.6900567444935832E-3</v>
      </c>
      <c r="G1946" s="1" cm="1">
        <f t="array" ref="G1946">SUMPRODUCT(("Var_Cap"=[1]OUT_TransportEnergyCons!$B$4:$B$10000)*1,("-"=[1]OUT_TransportEnergyCons!$C$4:$C$10000)*1,ISNUMBER(SEARCH("T_C*ICE*nga*s2",[1]OUT_TransportEnergyCons!$A$4:$A$10000))*1,[1]OUT_TransportEnergyCons!E$4:E$10000)</f>
        <v>2.7504430694196124E-3</v>
      </c>
      <c r="H1946" s="1" cm="1">
        <f t="array" ref="H1946">SUMPRODUCT(("Var_Cap"=[1]OUT_TransportEnergyCons!$B$4:$B$10000)*1,("-"=[1]OUT_TransportEnergyCons!$C$4:$C$10000)*1,ISNUMBER(SEARCH("T_C*ICE*nga*s2",[1]OUT_TransportEnergyCons!$A$4:$A$10000))*1,[1]OUT_TransportEnergyCons!F$4:F$10000)</f>
        <v>2.7196231758893994E-3</v>
      </c>
      <c r="I1946" s="1" cm="1">
        <f t="array" ref="I1946">SUMPRODUCT(("Var_Cap"=[1]OUT_TransportEnergyCons!$B$4:$B$10000)*1,("-"=[1]OUT_TransportEnergyCons!$C$4:$C$10000)*1,ISNUMBER(SEARCH("T_C*ICE*nga*s2",[1]OUT_TransportEnergyCons!$A$4:$A$10000))*1,[1]OUT_TransportEnergyCons!G$4:G$10000)</f>
        <v>7.288175164324711E-6</v>
      </c>
      <c r="J1946" s="1" cm="1">
        <f t="array" ref="J1946">SUMPRODUCT(("Var_Cap"=[1]OUT_TransportEnergyCons!$B$4:$B$10000)*1,("-"=[1]OUT_TransportEnergyCons!$C$4:$C$10000)*1,ISNUMBER(SEARCH("T_C*ICE*nga*s2",[1]OUT_TransportEnergyCons!$A$4:$A$10000))*1,[1]OUT_TransportEnergyCons!H$4:H$10000)</f>
        <v>7.4275578849358494E-6</v>
      </c>
      <c r="K1946" s="1" cm="1">
        <f t="array" ref="K1946">SUMPRODUCT(("Var_Cap"=[1]OUT_TransportEnergyCons!$B$4:$B$10000)*1,("-"=[1]OUT_TransportEnergyCons!$C$4:$C$10000)*1,ISNUMBER(SEARCH("T_C*ICE*nga*s2",[1]OUT_TransportEnergyCons!$A$4:$A$10000))*1,[1]OUT_TransportEnergyCons!I$4:I$10000)</f>
        <v>4.6650060735975798E-6</v>
      </c>
    </row>
    <row r="1947" spans="2:11" x14ac:dyDescent="0.35">
      <c r="B1947" s="5" t="str">
        <f t="shared" si="1247"/>
        <v>SPS4</v>
      </c>
      <c r="C1947" s="5" t="str">
        <f t="shared" si="1245"/>
        <v>CH</v>
      </c>
      <c r="D1947" t="s">
        <v>1970</v>
      </c>
      <c r="E1947" t="str">
        <f t="shared" si="1246"/>
        <v>Million</v>
      </c>
      <c r="F1947" s="1" cm="1">
        <f t="array" ref="F1947">SUMPRODUCT(("Var_Cap"=[1]OUT_TransportEnergyCons!$B$4:$B$10000)*1,("-"=[1]OUT_TransportEnergyCons!$C$4:$C$10000)*1,ISNUMBER(SEARCH("T_C*ICE*nga*s3",[1]OUT_TransportEnergyCons!$A$4:$A$10000))*1,[1]OUT_TransportEnergyCons!D$4:D$10000)</f>
        <v>1.5106364514614362E-4</v>
      </c>
      <c r="G1947" s="1" cm="1">
        <f t="array" ref="G1947">SUMPRODUCT(("Var_Cap"=[1]OUT_TransportEnergyCons!$B$4:$B$10000)*1,("-"=[1]OUT_TransportEnergyCons!$C$4:$C$10000)*1,ISNUMBER(SEARCH("T_C*ICE*nga*s3",[1]OUT_TransportEnergyCons!$A$4:$A$10000))*1,[1]OUT_TransportEnergyCons!E$4:E$10000)</f>
        <v>1.5943400643295125E-4</v>
      </c>
      <c r="H1947" s="1" cm="1">
        <f t="array" ref="H1947">SUMPRODUCT(("Var_Cap"=[1]OUT_TransportEnergyCons!$B$4:$B$10000)*1,("-"=[1]OUT_TransportEnergyCons!$C$4:$C$10000)*1,ISNUMBER(SEARCH("T_C*ICE*nga*s3",[1]OUT_TransportEnergyCons!$A$4:$A$10000))*1,[1]OUT_TransportEnergyCons!F$4:F$10000)</f>
        <v>1.6044830779284161E-4</v>
      </c>
      <c r="I1947" s="1" cm="1">
        <f t="array" ref="I1947">SUMPRODUCT(("Var_Cap"=[1]OUT_TransportEnergyCons!$B$4:$B$10000)*1,("-"=[1]OUT_TransportEnergyCons!$C$4:$C$10000)*1,ISNUMBER(SEARCH("T_C*ICE*nga*s3",[1]OUT_TransportEnergyCons!$A$4:$A$10000))*1,[1]OUT_TransportEnergyCons!G$4:G$10000)</f>
        <v>1.7804784242188287E-5</v>
      </c>
      <c r="J1947" s="1" cm="1">
        <f t="array" ref="J1947">SUMPRODUCT(("Var_Cap"=[1]OUT_TransportEnergyCons!$B$4:$B$10000)*1,("-"=[1]OUT_TransportEnergyCons!$C$4:$C$10000)*1,ISNUMBER(SEARCH("T_C*ICE*nga*s3",[1]OUT_TransportEnergyCons!$A$4:$A$10000))*1,[1]OUT_TransportEnergyCons!H$4:H$10000)</f>
        <v>1.0123213572078601E-5</v>
      </c>
      <c r="K1947" s="1" cm="1">
        <f t="array" ref="K1947">SUMPRODUCT(("Var_Cap"=[1]OUT_TransportEnergyCons!$B$4:$B$10000)*1,("-"=[1]OUT_TransportEnergyCons!$C$4:$C$10000)*1,ISNUMBER(SEARCH("T_C*ICE*nga*s3",[1]OUT_TransportEnergyCons!$A$4:$A$10000))*1,[1]OUT_TransportEnergyCons!I$4:I$10000)</f>
        <v>7.9924677980638396E-6</v>
      </c>
    </row>
    <row r="1948" spans="2:11" x14ac:dyDescent="0.35">
      <c r="B1948" s="5" t="str">
        <f t="shared" si="1247"/>
        <v>SPS4</v>
      </c>
      <c r="C1948" s="5" t="str">
        <f t="shared" si="1245"/>
        <v>CH</v>
      </c>
      <c r="D1948" t="s">
        <v>1971</v>
      </c>
      <c r="E1948" t="str">
        <f t="shared" si="1246"/>
        <v>Million</v>
      </c>
      <c r="F1948" s="1" cm="1">
        <f t="array" ref="F1948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48" s="1" cm="1">
        <f t="array" ref="G1948">SUMPRODUCT(("Var_Cap"=[1]OUT_TransportEnergyCons!$B$4:$B$10000)*1,("-"=[1]OUT_TransportEnergyCons!$C$4:$C$10000)*1,ISNUMBER(SEARCH("T_C*ICE*nga*s4",[1]OUT_TransportEnergyCons!$A$4:$A$10000))*1,[1]OUT_TransportEnergyCons!E$4:E$10000)</f>
        <v>2.5354624427597239E-3</v>
      </c>
      <c r="H1948" s="1" cm="1">
        <f t="array" ref="H1948">SUMPRODUCT(("Var_Cap"=[1]OUT_TransportEnergyCons!$B$4:$B$10000)*1,("-"=[1]OUT_TransportEnergyCons!$C$4:$C$10000)*1,ISNUMBER(SEARCH("T_C*ICE*nga*s4",[1]OUT_TransportEnergyCons!$A$4:$A$10000))*1,[1]OUT_TransportEnergyCons!F$4:F$10000)</f>
        <v>2.3613103601376807E-3</v>
      </c>
      <c r="I1948" s="1" cm="1">
        <f t="array" ref="I1948">SUMPRODUCT(("Var_Cap"=[1]OUT_TransportEnergyCons!$B$4:$B$10000)*1,("-"=[1]OUT_TransportEnergyCons!$C$4:$C$10000)*1,ISNUMBER(SEARCH("T_C*ICE*nga*s4",[1]OUT_TransportEnergyCons!$A$4:$A$10000))*1,[1]OUT_TransportEnergyCons!G$4:G$10000)</f>
        <v>5.3086531081028478E-6</v>
      </c>
      <c r="J1948" s="1" cm="1">
        <f t="array" ref="J1948">SUMPRODUCT(("Var_Cap"=[1]OUT_TransportEnergyCons!$B$4:$B$10000)*1,("-"=[1]OUT_TransportEnergyCons!$C$4:$C$10000)*1,ISNUMBER(SEARCH("T_C*ICE*nga*s4",[1]OUT_TransportEnergyCons!$A$4:$A$10000))*1,[1]OUT_TransportEnergyCons!H$4:H$10000)</f>
        <v>1.1709209025921967E-5</v>
      </c>
      <c r="K1948" s="1" cm="1">
        <f t="array" ref="K1948">SUMPRODUCT(("Var_Cap"=[1]OUT_TransportEnergyCons!$B$4:$B$10000)*1,("-"=[1]OUT_TransportEnergyCons!$C$4:$C$10000)*1,ISNUMBER(SEARCH("T_C*ICE*nga*s4",[1]OUT_TransportEnergyCons!$A$4:$A$10000))*1,[1]OUT_TransportEnergyCons!I$4:I$10000)</f>
        <v>1.2692236750107399E-5</v>
      </c>
    </row>
    <row r="1949" spans="2:11" x14ac:dyDescent="0.35">
      <c r="B1949" s="5" t="str">
        <f t="shared" si="1247"/>
        <v>SPS4</v>
      </c>
      <c r="C1949" s="5" t="str">
        <f>C1948</f>
        <v>CH</v>
      </c>
      <c r="D1949" s="2" t="s">
        <v>1974</v>
      </c>
      <c r="E1949" s="2" t="s">
        <v>2000</v>
      </c>
      <c r="F1949" s="3">
        <f>SUM(F1950:F1972)</f>
        <v>5.7054784190355381</v>
      </c>
      <c r="G1949" s="3">
        <f t="shared" ref="G1949:K1949" si="1248">SUM(G1950:G1972)</f>
        <v>5.681544894199261</v>
      </c>
      <c r="H1949" s="3">
        <f t="shared" si="1248"/>
        <v>5.8299260231030816</v>
      </c>
      <c r="I1949" s="3">
        <f t="shared" si="1248"/>
        <v>6.5691859732397511</v>
      </c>
      <c r="J1949" s="3">
        <f t="shared" si="1248"/>
        <v>7.1329524179490988</v>
      </c>
      <c r="K1949" s="3">
        <f t="shared" si="1248"/>
        <v>7.8514526905306994</v>
      </c>
    </row>
    <row r="1950" spans="2:11" x14ac:dyDescent="0.35">
      <c r="B1950" s="5" t="str">
        <f t="shared" si="1247"/>
        <v>SPS4</v>
      </c>
      <c r="C1950" s="5" t="str">
        <f t="shared" ref="C1950:C1972" si="1249">C1949</f>
        <v>CH</v>
      </c>
      <c r="D1950" t="s">
        <v>1979</v>
      </c>
      <c r="E1950" t="s">
        <v>2000</v>
      </c>
      <c r="F1950" s="1" cm="1">
        <f t="array" ref="F1950">(SUMPRODUCT(("Var_Cap"=[1]OUT_TransportEnergyCons!$B$4:$B$10000)*1,ISNUMBER(SEARCH("T_B_u*bev*ext",[1]OUT_TransportEnergyCons!$A$4:$A$10000))*1,[1]OUT_TransportEnergyCons!D$4:D$10000))*1000</f>
        <v>3.7789555006180503E-2</v>
      </c>
      <c r="G1950" s="1" cm="1">
        <f t="array" ref="G1950">(SUMPRODUCT(("Var_Cap"=[1]OUT_TransportEnergyCons!$B$4:$B$10000)*1,ISNUMBER(SEARCH("T_B_u*bev*ext",[1]OUT_TransportEnergyCons!$A$4:$A$10000))*1,[1]OUT_TransportEnergyCons!E$4:E$10000))*1000</f>
        <v>3.0231644004944401E-2</v>
      </c>
      <c r="H1950" s="1" cm="1">
        <f t="array" ref="H1950">(SUMPRODUCT(("Var_Cap"=[1]OUT_TransportEnergyCons!$B$4:$B$10000)*1,ISNUMBER(SEARCH("T_B_u*bev*ext",[1]OUT_TransportEnergyCons!$A$4:$A$10000))*1,[1]OUT_TransportEnergyCons!F$4:F$10000))*1000</f>
        <v>1.8894777503090199E-2</v>
      </c>
      <c r="I1950" s="1" cm="1">
        <f t="array" ref="I1950">(SUMPRODUCT(("Var_Cap"=[1]OUT_TransportEnergyCons!$B$4:$B$10000)*1,ISNUMBER(SEARCH("T_B_u*bev*ext",[1]OUT_TransportEnergyCons!$A$4:$A$10000))*1,[1]OUT_TransportEnergyCons!G$4:G$10000))*1000</f>
        <v>0</v>
      </c>
      <c r="J1950" s="1" cm="1">
        <f t="array" ref="J1950">(SUMPRODUCT(("Var_Cap"=[1]OUT_TransportEnergyCons!$B$4:$B$10000)*1,ISNUMBER(SEARCH("T_B_u*bev*ext",[1]OUT_TransportEnergyCons!$A$4:$A$10000))*1,[1]OUT_TransportEnergyCons!H$4:H$10000))*1000</f>
        <v>0</v>
      </c>
      <c r="K1950" s="1" cm="1">
        <f t="array" ref="K1950">(SUMPRODUCT(("Var_Cap"=[1]OUT_TransportEnergyCons!$B$4:$B$10000)*1,ISNUMBER(SEARCH("T_B_u*bev*ext",[1]OUT_TransportEnergyCons!$A$4:$A$10000))*1,[1]OUT_TransportEnergyCons!I$4:I$10000))*1000</f>
        <v>0</v>
      </c>
    </row>
    <row r="1951" spans="2:11" x14ac:dyDescent="0.35">
      <c r="B1951" s="5" t="str">
        <f t="shared" si="1247"/>
        <v>SPS4</v>
      </c>
      <c r="C1951" s="5" t="str">
        <f t="shared" si="1249"/>
        <v>CH</v>
      </c>
      <c r="D1951" t="s">
        <v>1980</v>
      </c>
      <c r="E1951" t="s">
        <v>2000</v>
      </c>
      <c r="F1951" s="1" cm="1">
        <f t="array" ref="F1951">(SUMPRODUCT(("Var_Cap"=[1]OUT_TransportEnergyCons!$B$4:$B$10000)*1,ISNUMBER(SEARCH("T_B_u*bev*s1",[1]OUT_TransportEnergyCons!$A$4:$A$10000))*1,[1]OUT_TransportEnergyCons!D$4:D$10000))*1000</f>
        <v>3.02390998593531E-5</v>
      </c>
      <c r="G1951" s="1" cm="1">
        <f t="array" ref="G1951">(SUMPRODUCT(("Var_Cap"=[1]OUT_TransportEnergyCons!$B$4:$B$10000)*1,ISNUMBER(SEARCH("T_B_u*bev*s1",[1]OUT_TransportEnergyCons!$A$4:$A$10000))*1,[1]OUT_TransportEnergyCons!E$4:E$10000))*1000</f>
        <v>5.4142957580817644E-3</v>
      </c>
      <c r="H1951" s="1" cm="1">
        <f t="array" ref="H1951">(SUMPRODUCT(("Var_Cap"=[1]OUT_TransportEnergyCons!$B$4:$B$10000)*1,ISNUMBER(SEARCH("T_B_u*bev*s1",[1]OUT_TransportEnergyCons!$A$4:$A$10000))*1,[1]OUT_TransportEnergyCons!F$4:F$10000))*1000</f>
        <v>1.2690234531503376E-2</v>
      </c>
      <c r="I1951" s="1" cm="1">
        <f t="array" ref="I1951">(SUMPRODUCT(("Var_Cap"=[1]OUT_TransportEnergyCons!$B$4:$B$10000)*1,ISNUMBER(SEARCH("T_B_u*bev*s1",[1]OUT_TransportEnergyCons!$A$4:$A$10000))*1,[1]OUT_TransportEnergyCons!G$4:G$10000))*1000</f>
        <v>2.5521165600100062</v>
      </c>
      <c r="J1951" s="1" cm="1">
        <f t="array" ref="J1951">(SUMPRODUCT(("Var_Cap"=[1]OUT_TransportEnergyCons!$B$4:$B$10000)*1,ISNUMBER(SEARCH("T_B_u*bev*s1",[1]OUT_TransportEnergyCons!$A$4:$A$10000))*1,[1]OUT_TransportEnergyCons!H$4:H$10000))*1000</f>
        <v>2.7597282773002072</v>
      </c>
      <c r="K1951" s="1" cm="1">
        <f t="array" ref="K1951">(SUMPRODUCT(("Var_Cap"=[1]OUT_TransportEnergyCons!$B$4:$B$10000)*1,ISNUMBER(SEARCH("T_B_u*bev*s1",[1]OUT_TransportEnergyCons!$A$4:$A$10000))*1,[1]OUT_TransportEnergyCons!I$4:I$10000))*1000</f>
        <v>3.1747760476496367</v>
      </c>
    </row>
    <row r="1952" spans="2:11" x14ac:dyDescent="0.35">
      <c r="B1952" s="5" t="str">
        <f t="shared" si="1247"/>
        <v>SPS4</v>
      </c>
      <c r="C1952" s="5" t="str">
        <f t="shared" si="1249"/>
        <v>CH</v>
      </c>
      <c r="D1952" t="s">
        <v>1981</v>
      </c>
      <c r="E1952" t="s">
        <v>2000</v>
      </c>
      <c r="F1952" s="1" cm="1">
        <f t="array" ref="F1952">(SUMPRODUCT(("Var_Cap"=[1]OUT_TransportEnergyCons!$B$4:$B$10000)*1,ISNUMBER(SEARCH("T_B_u*bev*s2",[1]OUT_TransportEnergyCons!$A$4:$A$10000))*1,[1]OUT_TransportEnergyCons!D$4:D$10000))*1000</f>
        <v>5.3691660135834806E-3</v>
      </c>
      <c r="G1952" s="1" cm="1">
        <f t="array" ref="G1952">(SUMPRODUCT(("Var_Cap"=[1]OUT_TransportEnergyCons!$B$4:$B$10000)*1,ISNUMBER(SEARCH("T_B_u*bev*s2",[1]OUT_TransportEnergyCons!$A$4:$A$10000))*1,[1]OUT_TransportEnergyCons!E$4:E$10000))*1000</f>
        <v>8.9447579449428109E-3</v>
      </c>
      <c r="H1952" s="1" cm="1">
        <f t="array" ref="H1952">(SUMPRODUCT(("Var_Cap"=[1]OUT_TransportEnergyCons!$B$4:$B$10000)*1,ISNUMBER(SEARCH("T_B_u*bev*s2",[1]OUT_TransportEnergyCons!$A$4:$A$10000))*1,[1]OUT_TransportEnergyCons!F$4:F$10000))*1000</f>
        <v>1.4239696970949532E-2</v>
      </c>
      <c r="I1952" s="1" cm="1">
        <f t="array" ref="I1952">(SUMPRODUCT(("Var_Cap"=[1]OUT_TransportEnergyCons!$B$4:$B$10000)*1,ISNUMBER(SEARCH("T_B_u*bev*s2",[1]OUT_TransportEnergyCons!$A$4:$A$10000))*1,[1]OUT_TransportEnergyCons!G$4:G$10000))*1000</f>
        <v>0.74671963917771123</v>
      </c>
      <c r="J1952" s="1" cm="1">
        <f t="array" ref="J1952">(SUMPRODUCT(("Var_Cap"=[1]OUT_TransportEnergyCons!$B$4:$B$10000)*1,ISNUMBER(SEARCH("T_B_u*bev*s2",[1]OUT_TransportEnergyCons!$A$4:$A$10000))*1,[1]OUT_TransportEnergyCons!H$4:H$10000))*1000</f>
        <v>0.81183967944285496</v>
      </c>
      <c r="K1952" s="1" cm="1">
        <f t="array" ref="K1952">(SUMPRODUCT(("Var_Cap"=[1]OUT_TransportEnergyCons!$B$4:$B$10000)*1,ISNUMBER(SEARCH("T_B_u*bev*s2",[1]OUT_TransportEnergyCons!$A$4:$A$10000))*1,[1]OUT_TransportEnergyCons!I$4:I$10000))*1000</f>
        <v>0.86904387844335917</v>
      </c>
    </row>
    <row r="1953" spans="2:11" x14ac:dyDescent="0.35">
      <c r="B1953" s="5" t="str">
        <f t="shared" si="1247"/>
        <v>SPS4</v>
      </c>
      <c r="C1953" s="5" t="str">
        <f t="shared" si="1249"/>
        <v>CH</v>
      </c>
      <c r="D1953" t="s">
        <v>1982</v>
      </c>
      <c r="E1953" t="s">
        <v>2000</v>
      </c>
      <c r="F1953" s="1" cm="1">
        <f t="array" ref="F1953">(SUMPRODUCT(("Var_Cap"=[1]OUT_TransportEnergyCons!$B$4:$B$10000)*1,ISNUMBER(SEARCH("T_B_u*bev*s3",[1]OUT_TransportEnergyCons!$A$4:$A$10000))*1,[1]OUT_TransportEnergyCons!D$4:D$10000))*1000</f>
        <v>1.5967014590590502E-2</v>
      </c>
      <c r="G1953" s="1" cm="1">
        <f t="array" ref="G1953">(SUMPRODUCT(("Var_Cap"=[1]OUT_TransportEnergyCons!$B$4:$B$10000)*1,ISNUMBER(SEARCH("T_B_u*bev*s3",[1]OUT_TransportEnergyCons!$A$4:$A$10000))*1,[1]OUT_TransportEnergyCons!E$4:E$10000))*1000</f>
        <v>1.6781828983783529E-2</v>
      </c>
      <c r="H1953" s="1" cm="1">
        <f t="array" ref="H1953">(SUMPRODUCT(("Var_Cap"=[1]OUT_TransportEnergyCons!$B$4:$B$10000)*1,ISNUMBER(SEARCH("T_B_u*bev*s3",[1]OUT_TransportEnergyCons!$A$4:$A$10000))*1,[1]OUT_TransportEnergyCons!F$4:F$10000))*1000</f>
        <v>1.8506910553740076E-2</v>
      </c>
      <c r="I1953" s="1" cm="1">
        <f t="array" ref="I1953">(SUMPRODUCT(("Var_Cap"=[1]OUT_TransportEnergyCons!$B$4:$B$10000)*1,ISNUMBER(SEARCH("T_B_u*bev*s3",[1]OUT_TransportEnergyCons!$A$4:$A$10000))*1,[1]OUT_TransportEnergyCons!G$4:G$10000))*1000</f>
        <v>1.7144917712713006</v>
      </c>
      <c r="J1953" s="1" cm="1">
        <f t="array" ref="J1953">(SUMPRODUCT(("Var_Cap"=[1]OUT_TransportEnergyCons!$B$4:$B$10000)*1,ISNUMBER(SEARCH("T_B_u*bev*s3",[1]OUT_TransportEnergyCons!$A$4:$A$10000))*1,[1]OUT_TransportEnergyCons!H$4:H$10000))*1000</f>
        <v>1.441865335416</v>
      </c>
      <c r="K1953" s="1" cm="1">
        <f t="array" ref="K1953">(SUMPRODUCT(("Var_Cap"=[1]OUT_TransportEnergyCons!$B$4:$B$10000)*1,ISNUMBER(SEARCH("T_B_u*bev*s3",[1]OUT_TransportEnergyCons!$A$4:$A$10000))*1,[1]OUT_TransportEnergyCons!I$4:I$10000))*1000</f>
        <v>0.96998037892389599</v>
      </c>
    </row>
    <row r="1954" spans="2:11" x14ac:dyDescent="0.35">
      <c r="B1954" s="5" t="str">
        <f t="shared" si="1247"/>
        <v>SPS4</v>
      </c>
      <c r="C1954" s="5" t="str">
        <f t="shared" si="1249"/>
        <v>CH</v>
      </c>
      <c r="D1954" t="s">
        <v>1983</v>
      </c>
      <c r="E1954" t="s">
        <v>2000</v>
      </c>
      <c r="F1954" s="1" cm="1">
        <f t="array" ref="F1954">(SUMPRODUCT(("Var_Cap"=[1]OUT_TransportEnergyCons!$B$4:$B$10000)*1,ISNUMBER(SEARCH("T_B_u*bev*s4",[1]OUT_TransportEnergyCons!$A$4:$A$10000))*1,[1]OUT_TransportEnergyCons!D$4:D$10000))*1000</f>
        <v>3.6546408652214532E-4</v>
      </c>
      <c r="G1954" s="1" cm="1">
        <f t="array" ref="G1954">(SUMPRODUCT(("Var_Cap"=[1]OUT_TransportEnergyCons!$B$4:$B$10000)*1,ISNUMBER(SEARCH("T_B_u*bev*s4",[1]OUT_TransportEnergyCons!$A$4:$A$10000))*1,[1]OUT_TransportEnergyCons!E$4:E$10000))*1000</f>
        <v>4.3564069737952901E-4</v>
      </c>
      <c r="H1954" s="1" cm="1">
        <f t="array" ref="H1954">(SUMPRODUCT(("Var_Cap"=[1]OUT_TransportEnergyCons!$B$4:$B$10000)*1,ISNUMBER(SEARCH("T_B_u*bev*s4",[1]OUT_TransportEnergyCons!$A$4:$A$10000))*1,[1]OUT_TransportEnergyCons!F$4:F$10000))*1000</f>
        <v>6.2249071156302092E-4</v>
      </c>
      <c r="I1954" s="1" cm="1">
        <f t="array" ref="I1954">(SUMPRODUCT(("Var_Cap"=[1]OUT_TransportEnergyCons!$B$4:$B$10000)*1,ISNUMBER(SEARCH("T_B_u*bev*s4",[1]OUT_TransportEnergyCons!$A$4:$A$10000))*1,[1]OUT_TransportEnergyCons!G$4:G$10000))*1000</f>
        <v>3.2281787305714186E-4</v>
      </c>
      <c r="J1954" s="1" cm="1">
        <f t="array" ref="J1954">(SUMPRODUCT(("Var_Cap"=[1]OUT_TransportEnergyCons!$B$4:$B$10000)*1,ISNUMBER(SEARCH("T_B_u*bev*s4",[1]OUT_TransportEnergyCons!$A$4:$A$10000))*1,[1]OUT_TransportEnergyCons!H$4:H$10000))*1000</f>
        <v>4.7786241504605808E-4</v>
      </c>
      <c r="K1954" s="1" cm="1">
        <f t="array" ref="K1954">(SUMPRODUCT(("Var_Cap"=[1]OUT_TransportEnergyCons!$B$4:$B$10000)*1,ISNUMBER(SEARCH("T_B_u*bev*s4",[1]OUT_TransportEnergyCons!$A$4:$A$10000))*1,[1]OUT_TransportEnergyCons!I$4:I$10000))*1000</f>
        <v>2.2228383251661076E-4</v>
      </c>
    </row>
    <row r="1955" spans="2:11" x14ac:dyDescent="0.35">
      <c r="B1955" s="5" t="str">
        <f t="shared" si="1247"/>
        <v>SPS4</v>
      </c>
      <c r="C1955" s="5" t="str">
        <f t="shared" si="1249"/>
        <v>CH</v>
      </c>
      <c r="D1955" t="s">
        <v>1984</v>
      </c>
      <c r="E1955" t="s">
        <v>2000</v>
      </c>
      <c r="F1955" s="1" cm="1">
        <f t="array" ref="F1955">(SUMPRODUCT(("Var_Cap"=[1]OUT_TransportEnergyCons!$B$4:$B$10000)*1,ISNUMBER(SEARCH("T_B_u*h2o*s1",[1]OUT_TransportEnergyCons!$A$4:$A$10000))*1,[1]OUT_TransportEnergyCons!D$4:D$10000))*1000</f>
        <v>0</v>
      </c>
      <c r="G1955" s="1" cm="1">
        <f t="array" ref="G1955">(SUMPRODUCT(("Var_Cap"=[1]OUT_TransportEnergyCons!$B$4:$B$10000)*1,ISNUMBER(SEARCH("T_B_u*h2o*s1",[1]OUT_TransportEnergyCons!$A$4:$A$10000))*1,[1]OUT_TransportEnergyCons!E$4:E$10000))*1000</f>
        <v>0</v>
      </c>
      <c r="H1955" s="1" cm="1">
        <f t="array" ref="H1955">(SUMPRODUCT(("Var_Cap"=[1]OUT_TransportEnergyCons!$B$4:$B$10000)*1,ISNUMBER(SEARCH("T_B_u*h2o*s1",[1]OUT_TransportEnergyCons!$A$4:$A$10000))*1,[1]OUT_TransportEnergyCons!F$4:F$10000))*1000</f>
        <v>0</v>
      </c>
      <c r="I1955" s="1" cm="1">
        <f t="array" ref="I1955">(SUMPRODUCT(("Var_Cap"=[1]OUT_TransportEnergyCons!$B$4:$B$10000)*1,ISNUMBER(SEARCH("T_B_u*h2o*s1",[1]OUT_TransportEnergyCons!$A$4:$A$10000))*1,[1]OUT_TransportEnergyCons!G$4:G$10000))*1000</f>
        <v>4.9121568727530002E-5</v>
      </c>
      <c r="J1955" s="1" cm="1">
        <f t="array" ref="J1955">(SUMPRODUCT(("Var_Cap"=[1]OUT_TransportEnergyCons!$B$4:$B$10000)*1,ISNUMBER(SEARCH("T_B_u*h2o*s1",[1]OUT_TransportEnergyCons!$A$4:$A$10000))*1,[1]OUT_TransportEnergyCons!H$4:H$10000))*1000</f>
        <v>3.1048018766972004E-5</v>
      </c>
      <c r="K1955" s="1" cm="1">
        <f t="array" ref="K1955">(SUMPRODUCT(("Var_Cap"=[1]OUT_TransportEnergyCons!$B$4:$B$10000)*1,ISNUMBER(SEARCH("T_B_u*h2o*s1",[1]OUT_TransportEnergyCons!$A$4:$A$10000))*1,[1]OUT_TransportEnergyCons!I$4:I$10000))*1000</f>
        <v>2.3783623076176902E-5</v>
      </c>
    </row>
    <row r="1956" spans="2:11" x14ac:dyDescent="0.35">
      <c r="B1956" s="5" t="str">
        <f t="shared" si="1247"/>
        <v>SPS4</v>
      </c>
      <c r="C1956" s="5" t="str">
        <f t="shared" si="1249"/>
        <v>CH</v>
      </c>
      <c r="D1956" t="s">
        <v>1985</v>
      </c>
      <c r="E1956" t="s">
        <v>2000</v>
      </c>
      <c r="F1956" s="1" cm="1">
        <f t="array" ref="F1956">(SUMPRODUCT(("Var_Cap"=[1]OUT_TransportEnergyCons!$B$4:$B$10000)*1,ISNUMBER(SEARCH("T_B_u*h2o*s2",[1]OUT_TransportEnergyCons!$A$4:$A$10000))*1,[1]OUT_TransportEnergyCons!D$4:D$10000))*1000</f>
        <v>0</v>
      </c>
      <c r="G1956" s="1" cm="1">
        <f t="array" ref="G1956">(SUMPRODUCT(("Var_Cap"=[1]OUT_TransportEnergyCons!$B$4:$B$10000)*1,ISNUMBER(SEARCH("T_B_u*h2o*s2",[1]OUT_TransportEnergyCons!$A$4:$A$10000))*1,[1]OUT_TransportEnergyCons!E$4:E$10000))*1000</f>
        <v>0</v>
      </c>
      <c r="H1956" s="1" cm="1">
        <f t="array" ref="H1956">(SUMPRODUCT(("Var_Cap"=[1]OUT_TransportEnergyCons!$B$4:$B$10000)*1,ISNUMBER(SEARCH("T_B_u*h2o*s2",[1]OUT_TransportEnergyCons!$A$4:$A$10000))*1,[1]OUT_TransportEnergyCons!F$4:F$10000))*1000</f>
        <v>0</v>
      </c>
      <c r="I1956" s="1" cm="1">
        <f t="array" ref="I1956">(SUMPRODUCT(("Var_Cap"=[1]OUT_TransportEnergyCons!$B$4:$B$10000)*1,ISNUMBER(SEARCH("T_B_u*h2o*s2",[1]OUT_TransportEnergyCons!$A$4:$A$10000))*1,[1]OUT_TransportEnergyCons!G$4:G$10000))*1000</f>
        <v>2.2247499154924102E-5</v>
      </c>
      <c r="J1956" s="1" cm="1">
        <f t="array" ref="J1956">(SUMPRODUCT(("Var_Cap"=[1]OUT_TransportEnergyCons!$B$4:$B$10000)*1,ISNUMBER(SEARCH("T_B_u*h2o*s2",[1]OUT_TransportEnergyCons!$A$4:$A$10000))*1,[1]OUT_TransportEnergyCons!H$4:H$10000))*1000</f>
        <v>3.9405198380692E-6</v>
      </c>
      <c r="K1956" s="1" cm="1">
        <f t="array" ref="K1956">(SUMPRODUCT(("Var_Cap"=[1]OUT_TransportEnergyCons!$B$4:$B$10000)*1,ISNUMBER(SEARCH("T_B_u*h2o*s2",[1]OUT_TransportEnergyCons!$A$4:$A$10000))*1,[1]OUT_TransportEnergyCons!I$4:I$10000))*1000</f>
        <v>0</v>
      </c>
    </row>
    <row r="1957" spans="2:11" x14ac:dyDescent="0.35">
      <c r="B1957" s="5" t="str">
        <f t="shared" si="1247"/>
        <v>SPS4</v>
      </c>
      <c r="C1957" s="5" t="str">
        <f t="shared" si="1249"/>
        <v>CH</v>
      </c>
      <c r="D1957" t="s">
        <v>1986</v>
      </c>
      <c r="E1957" t="s">
        <v>2000</v>
      </c>
      <c r="F1957" s="1" cm="1">
        <f t="array" ref="F1957">(SUMPRODUCT(("Var_Cap"=[1]OUT_TransportEnergyCons!$B$4:$B$10000)*1,ISNUMBER(SEARCH("T_B_u*h2o*s3",[1]OUT_TransportEnergyCons!$A$4:$A$10000))*1,[1]OUT_TransportEnergyCons!D$4:D$10000))*1000</f>
        <v>0</v>
      </c>
      <c r="G1957" s="1" cm="1">
        <f t="array" ref="G1957">(SUMPRODUCT(("Var_Cap"=[1]OUT_TransportEnergyCons!$B$4:$B$10000)*1,ISNUMBER(SEARCH("T_B_u*h2o*s3",[1]OUT_TransportEnergyCons!$A$4:$A$10000))*1,[1]OUT_TransportEnergyCons!E$4:E$10000))*1000</f>
        <v>0</v>
      </c>
      <c r="H1957" s="1" cm="1">
        <f t="array" ref="H1957">(SUMPRODUCT(("Var_Cap"=[1]OUT_TransportEnergyCons!$B$4:$B$10000)*1,ISNUMBER(SEARCH("T_B_u*h2o*s3",[1]OUT_TransportEnergyCons!$A$4:$A$10000))*1,[1]OUT_TransportEnergyCons!F$4:F$10000))*1000</f>
        <v>0</v>
      </c>
      <c r="I1957" s="1" cm="1">
        <f t="array" ref="I1957">(SUMPRODUCT(("Var_Cap"=[1]OUT_TransportEnergyCons!$B$4:$B$10000)*1,ISNUMBER(SEARCH("T_B_u*h2o*s3",[1]OUT_TransportEnergyCons!$A$4:$A$10000))*1,[1]OUT_TransportEnergyCons!G$4:G$10000))*1000</f>
        <v>1.6249837751529999E-5</v>
      </c>
      <c r="J1957" s="1" cm="1">
        <f t="array" ref="J1957">(SUMPRODUCT(("Var_Cap"=[1]OUT_TransportEnergyCons!$B$4:$B$10000)*1,ISNUMBER(SEARCH("T_B_u*h2o*s3",[1]OUT_TransportEnergyCons!$A$4:$A$10000))*1,[1]OUT_TransportEnergyCons!H$4:H$10000))*1000</f>
        <v>0</v>
      </c>
      <c r="K1957" s="1" cm="1">
        <f t="array" ref="K1957">(SUMPRODUCT(("Var_Cap"=[1]OUT_TransportEnergyCons!$B$4:$B$10000)*1,ISNUMBER(SEARCH("T_B_u*h2o*s3",[1]OUT_TransportEnergyCons!$A$4:$A$10000))*1,[1]OUT_TransportEnergyCons!I$4:I$10000))*1000</f>
        <v>-9.2888444951898794E-6</v>
      </c>
    </row>
    <row r="1958" spans="2:11" x14ac:dyDescent="0.35">
      <c r="B1958" s="5" t="str">
        <f t="shared" si="1247"/>
        <v>SPS4</v>
      </c>
      <c r="C1958" s="5" t="str">
        <f t="shared" si="1249"/>
        <v>CH</v>
      </c>
      <c r="D1958" t="s">
        <v>1987</v>
      </c>
      <c r="E1958" t="s">
        <v>2000</v>
      </c>
      <c r="F1958" s="1" cm="1">
        <f t="array" ref="F1958">(SUMPRODUCT(("Var_Cap"=[1]OUT_TransportEnergyCons!$B$4:$B$10000)*1,ISNUMBER(SEARCH("T_B_u*h2o*s4",[1]OUT_TransportEnergyCons!$A$4:$A$10000))*1,[1]OUT_TransportEnergyCons!D$4:D$10000))*1000</f>
        <v>0</v>
      </c>
      <c r="G1958" s="1" cm="1">
        <f t="array" ref="G1958">(SUMPRODUCT(("Var_Cap"=[1]OUT_TransportEnergyCons!$B$4:$B$10000)*1,ISNUMBER(SEARCH("T_B_u*h2o*s4",[1]OUT_TransportEnergyCons!$A$4:$A$10000))*1,[1]OUT_TransportEnergyCons!E$4:E$10000))*1000</f>
        <v>0</v>
      </c>
      <c r="H1958" s="1" cm="1">
        <f t="array" ref="H1958">(SUMPRODUCT(("Var_Cap"=[1]OUT_TransportEnergyCons!$B$4:$B$10000)*1,ISNUMBER(SEARCH("T_B_u*h2o*s4",[1]OUT_TransportEnergyCons!$A$4:$A$10000))*1,[1]OUT_TransportEnergyCons!F$4:F$10000))*1000</f>
        <v>0</v>
      </c>
      <c r="I1958" s="1" cm="1">
        <f t="array" ref="I1958">(SUMPRODUCT(("Var_Cap"=[1]OUT_TransportEnergyCons!$B$4:$B$10000)*1,ISNUMBER(SEARCH("T_B_u*h2o*s4",[1]OUT_TransportEnergyCons!$A$4:$A$10000))*1,[1]OUT_TransportEnergyCons!G$4:G$10000))*1000</f>
        <v>0</v>
      </c>
      <c r="J1958" s="1" cm="1">
        <f t="array" ref="J1958">(SUMPRODUCT(("Var_Cap"=[1]OUT_TransportEnergyCons!$B$4:$B$10000)*1,ISNUMBER(SEARCH("T_B_u*h2o*s4",[1]OUT_TransportEnergyCons!$A$4:$A$10000))*1,[1]OUT_TransportEnergyCons!H$4:H$10000))*1000</f>
        <v>0</v>
      </c>
      <c r="K1958" s="1" cm="1">
        <f t="array" ref="K1958">(SUMPRODUCT(("Var_Cap"=[1]OUT_TransportEnergyCons!$B$4:$B$10000)*1,ISNUMBER(SEARCH("T_B_u*h2o*s4",[1]OUT_TransportEnergyCons!$A$4:$A$10000))*1,[1]OUT_TransportEnergyCons!I$4:I$10000))*1000</f>
        <v>-4.8191059030306999E-6</v>
      </c>
    </row>
    <row r="1959" spans="2:11" x14ac:dyDescent="0.35">
      <c r="B1959" s="5" t="str">
        <f t="shared" si="1247"/>
        <v>SPS4</v>
      </c>
      <c r="C1959" s="5" t="str">
        <f t="shared" si="1249"/>
        <v>CH</v>
      </c>
      <c r="D1959" t="s">
        <v>1988</v>
      </c>
      <c r="E1959" t="s">
        <v>2000</v>
      </c>
      <c r="F1959" s="1" cm="1">
        <f t="array" ref="F1959">(SUMPRODUCT(("Var_Cap"=[1]OUT_TransportEnergyCons!$B$4:$B$10000)*1,ISNUMBER(SEARCH("T_B_u*hyb*DSL*s1",[1]OUT_TransportEnergyCons!$A$4:$A$10000))*1,[1]OUT_TransportEnergyCons!D$4:D$10000))*1000</f>
        <v>0</v>
      </c>
      <c r="G1959" s="1" cm="1">
        <f t="array" ref="G1959">(SUMPRODUCT(("Var_Cap"=[1]OUT_TransportEnergyCons!$B$4:$B$10000)*1,ISNUMBER(SEARCH("T_B_u*hyb*DSL*s1",[1]OUT_TransportEnergyCons!$A$4:$A$10000))*1,[1]OUT_TransportEnergyCons!E$4:E$10000))*1000</f>
        <v>1.30419339014768E-2</v>
      </c>
      <c r="H1959" s="1" cm="1">
        <f t="array" ref="H1959">(SUMPRODUCT(("Var_Cap"=[1]OUT_TransportEnergyCons!$B$4:$B$10000)*1,ISNUMBER(SEARCH("T_B_u*hyb*DSL*s1",[1]OUT_TransportEnergyCons!$A$4:$A$10000))*1,[1]OUT_TransportEnergyCons!F$4:F$10000))*1000</f>
        <v>1.44671607762506E-2</v>
      </c>
      <c r="I1959" s="1" cm="1">
        <f t="array" ref="I1959">(SUMPRODUCT(("Var_Cap"=[1]OUT_TransportEnergyCons!$B$4:$B$10000)*1,ISNUMBER(SEARCH("T_B_u*hyb*DSL*s1",[1]OUT_TransportEnergyCons!$A$4:$A$10000))*1,[1]OUT_TransportEnergyCons!G$4:G$10000))*1000</f>
        <v>1.0772803719818992E-3</v>
      </c>
      <c r="J1959" s="1" cm="1">
        <f t="array" ref="J1959">(SUMPRODUCT(("Var_Cap"=[1]OUT_TransportEnergyCons!$B$4:$B$10000)*1,ISNUMBER(SEARCH("T_B_u*hyb*DSL*s1",[1]OUT_TransportEnergyCons!$A$4:$A$10000))*1,[1]OUT_TransportEnergyCons!H$4:H$10000))*1000</f>
        <v>3.2811039412704878E-3</v>
      </c>
      <c r="K1959" s="1" cm="1">
        <f t="array" ref="K1959">(SUMPRODUCT(("Var_Cap"=[1]OUT_TransportEnergyCons!$B$4:$B$10000)*1,ISNUMBER(SEARCH("T_B_u*hyb*DSL*s1",[1]OUT_TransportEnergyCons!$A$4:$A$10000))*1,[1]OUT_TransportEnergyCons!I$4:I$10000))*1000</f>
        <v>2.6326600750495315E-3</v>
      </c>
    </row>
    <row r="1960" spans="2:11" x14ac:dyDescent="0.35">
      <c r="B1960" s="5" t="str">
        <f t="shared" si="1247"/>
        <v>SPS4</v>
      </c>
      <c r="C1960" s="5" t="str">
        <f t="shared" si="1249"/>
        <v>CH</v>
      </c>
      <c r="D1960" t="s">
        <v>1989</v>
      </c>
      <c r="E1960" t="s">
        <v>2000</v>
      </c>
      <c r="F1960" s="1" cm="1">
        <f t="array" ref="F1960">(SUMPRODUCT(("Var_Cap"=[1]OUT_TransportEnergyCons!$B$4:$B$10000)*1,ISNUMBER(SEARCH("T_B_u*hyb*DSL*s2",[1]OUT_TransportEnergyCons!$A$4:$A$10000))*1,[1]OUT_TransportEnergyCons!D$4:D$10000))*1000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(SUMPRODUCT(("Var_Cap"=[1]OUT_TransportEnergyCons!$B$4:$B$10000)*1,ISNUMBER(SEARCH("T_B_u*hyb*DSL*s2",[1]OUT_TransportEnergyCons!$A$4:$A$10000))*1,[1]OUT_TransportEnergyCons!E$4:E$10000))*1000</f>
        <v>1.0125141485997399E-3</v>
      </c>
      <c r="H1960" s="1" cm="1">
        <f t="array" ref="H1960">(SUMPRODUCT(("Var_Cap"=[1]OUT_TransportEnergyCons!$B$4:$B$10000)*1,ISNUMBER(SEARCH("T_B_u*hyb*DSL*s2",[1]OUT_TransportEnergyCons!$A$4:$A$10000))*1,[1]OUT_TransportEnergyCons!F$4:F$10000))*1000</f>
        <v>1.58918605891964E-3</v>
      </c>
      <c r="I1960" s="1" cm="1">
        <f t="array" ref="I1960">(SUMPRODUCT(("Var_Cap"=[1]OUT_TransportEnergyCons!$B$4:$B$10000)*1,ISNUMBER(SEARCH("T_B_u*hyb*DSL*s2",[1]OUT_TransportEnergyCons!$A$4:$A$10000))*1,[1]OUT_TransportEnergyCons!G$4:G$10000))*1000</f>
        <v>1.1104004286152311E-3</v>
      </c>
      <c r="J1960" s="1" cm="1">
        <f t="array" ref="J1960">(SUMPRODUCT(("Var_Cap"=[1]OUT_TransportEnergyCons!$B$4:$B$10000)*1,ISNUMBER(SEARCH("T_B_u*hyb*DSL*s2",[1]OUT_TransportEnergyCons!$A$4:$A$10000))*1,[1]OUT_TransportEnergyCons!H$4:H$10000))*1000</f>
        <v>2.1126056814807599E-3</v>
      </c>
      <c r="K1960" s="1" cm="1">
        <f t="array" ref="K1960">(SUMPRODUCT(("Var_Cap"=[1]OUT_TransportEnergyCons!$B$4:$B$10000)*1,ISNUMBER(SEARCH("T_B_u*hyb*DSL*s2",[1]OUT_TransportEnergyCons!$A$4:$A$10000))*1,[1]OUT_TransportEnergyCons!I$4:I$10000))*1000</f>
        <v>1.4921595553633001E-3</v>
      </c>
    </row>
    <row r="1961" spans="2:11" x14ac:dyDescent="0.35">
      <c r="B1961" s="5" t="str">
        <f t="shared" si="1247"/>
        <v>SPS4</v>
      </c>
      <c r="C1961" s="5" t="str">
        <f t="shared" si="1249"/>
        <v>CH</v>
      </c>
      <c r="D1961" t="s">
        <v>1990</v>
      </c>
      <c r="E1961" t="s">
        <v>2000</v>
      </c>
      <c r="F1961" s="1" cm="1">
        <f t="array" ref="F1961">(SUMPRODUCT(("Var_Cap"=[1]OUT_TransportEnergyCons!$B$4:$B$10000)*1,ISNUMBER(SEARCH("T_B_u*hyb*DSL*s3",[1]OUT_TransportEnergyCons!$A$4:$A$10000))*1,[1]OUT_TransportEnergyCons!D$4:D$10000))*1000</f>
        <v>0</v>
      </c>
      <c r="G1961" s="1" cm="1">
        <f t="array" ref="G1961">(SUMPRODUCT(("Var_Cap"=[1]OUT_TransportEnergyCons!$B$4:$B$10000)*1,ISNUMBER(SEARCH("T_B_u*hyb*DSL*s3",[1]OUT_TransportEnergyCons!$A$4:$A$10000))*1,[1]OUT_TransportEnergyCons!E$4:E$10000))*1000</f>
        <v>6.3621919994936993E-2</v>
      </c>
      <c r="H1961" s="1" cm="1">
        <f t="array" ref="H1961">(SUMPRODUCT(("Var_Cap"=[1]OUT_TransportEnergyCons!$B$4:$B$10000)*1,ISNUMBER(SEARCH("T_B_u*hyb*DSL*s3",[1]OUT_TransportEnergyCons!$A$4:$A$10000))*1,[1]OUT_TransportEnergyCons!F$4:F$10000))*1000</f>
        <v>0.896368278360965</v>
      </c>
      <c r="I1961" s="1" cm="1">
        <f t="array" ref="I1961">(SUMPRODUCT(("Var_Cap"=[1]OUT_TransportEnergyCons!$B$4:$B$10000)*1,ISNUMBER(SEARCH("T_B_u*hyb*DSL*s3",[1]OUT_TransportEnergyCons!$A$4:$A$10000))*1,[1]OUT_TransportEnergyCons!G$4:G$10000))*1000</f>
        <v>1.5531281068879299</v>
      </c>
      <c r="J1961" s="1" cm="1">
        <f t="array" ref="J1961">(SUMPRODUCT(("Var_Cap"=[1]OUT_TransportEnergyCons!$B$4:$B$10000)*1,ISNUMBER(SEARCH("T_B_u*hyb*DSL*s3",[1]OUT_TransportEnergyCons!$A$4:$A$10000))*1,[1]OUT_TransportEnergyCons!H$4:H$10000))*1000</f>
        <v>2.1135046002381799</v>
      </c>
      <c r="K1961" s="1" cm="1">
        <f t="array" ref="K1961">(SUMPRODUCT(("Var_Cap"=[1]OUT_TransportEnergyCons!$B$4:$B$10000)*1,ISNUMBER(SEARCH("T_B_u*hyb*DSL*s3",[1]OUT_TransportEnergyCons!$A$4:$A$10000))*1,[1]OUT_TransportEnergyCons!I$4:I$10000))*1000</f>
        <v>2.83324601059633</v>
      </c>
    </row>
    <row r="1962" spans="2:11" x14ac:dyDescent="0.35">
      <c r="B1962" s="5" t="str">
        <f t="shared" si="1247"/>
        <v>SPS4</v>
      </c>
      <c r="C1962" s="5" t="str">
        <f t="shared" si="1249"/>
        <v>CH</v>
      </c>
      <c r="D1962" t="s">
        <v>1991</v>
      </c>
      <c r="E1962" t="s">
        <v>2000</v>
      </c>
      <c r="F1962" s="1" cm="1">
        <f t="array" ref="F1962">(SUMPRODUCT(("Var_Cap"=[1]OUT_TransportEnergyCons!$B$4:$B$10000)*1,ISNUMBER(SEARCH("T_B_u*hyb*DSL*s4",[1]OUT_TransportEnergyCons!$A$4:$A$10000))*1,[1]OUT_TransportEnergyCons!D$4:D$10000))*1000</f>
        <v>0</v>
      </c>
      <c r="G1962" s="1" cm="1">
        <f t="array" ref="G1962">(SUMPRODUCT(("Var_Cap"=[1]OUT_TransportEnergyCons!$B$4:$B$10000)*1,ISNUMBER(SEARCH("T_B_u*hyb*DSL*s4",[1]OUT_TransportEnergyCons!$A$4:$A$10000))*1,[1]OUT_TransportEnergyCons!E$4:E$10000))*1000</f>
        <v>2.1426980067166299E-5</v>
      </c>
      <c r="H1962" s="1" cm="1">
        <f t="array" ref="H1962">(SUMPRODUCT(("Var_Cap"=[1]OUT_TransportEnergyCons!$B$4:$B$10000)*1,ISNUMBER(SEARCH("T_B_u*hyb*DSL*s4",[1]OUT_TransportEnergyCons!$A$4:$A$10000))*1,[1]OUT_TransportEnergyCons!F$4:F$10000))*1000</f>
        <v>4.2434355853847102E-5</v>
      </c>
      <c r="I1962" s="1" cm="1">
        <f t="array" ref="I1962">(SUMPRODUCT(("Var_Cap"=[1]OUT_TransportEnergyCons!$B$4:$B$10000)*1,ISNUMBER(SEARCH("T_B_u*hyb*DSL*s4",[1]OUT_TransportEnergyCons!$A$4:$A$10000))*1,[1]OUT_TransportEnergyCons!G$4:G$10000))*1000</f>
        <v>3.7339496680697699E-5</v>
      </c>
      <c r="J1962" s="1" cm="1">
        <f t="array" ref="J1962">(SUMPRODUCT(("Var_Cap"=[1]OUT_TransportEnergyCons!$B$4:$B$10000)*1,ISNUMBER(SEARCH("T_B_u*hyb*DSL*s4",[1]OUT_TransportEnergyCons!$A$4:$A$10000))*1,[1]OUT_TransportEnergyCons!H$4:H$10000))*1000</f>
        <v>5.8075202809090704E-5</v>
      </c>
      <c r="K1962" s="1" cm="1">
        <f t="array" ref="K1962">(SUMPRODUCT(("Var_Cap"=[1]OUT_TransportEnergyCons!$B$4:$B$10000)*1,ISNUMBER(SEARCH("T_B_u*hyb*DSL*s4",[1]OUT_TransportEnergyCons!$A$4:$A$10000))*1,[1]OUT_TransportEnergyCons!I$4:I$10000))*1000</f>
        <v>1.7567300584448499E-5</v>
      </c>
    </row>
    <row r="1963" spans="2:11" x14ac:dyDescent="0.35">
      <c r="B1963" s="5" t="str">
        <f t="shared" si="1247"/>
        <v>SPS4</v>
      </c>
      <c r="C1963" s="5" t="str">
        <f t="shared" si="1249"/>
        <v>CH</v>
      </c>
      <c r="D1963" t="s">
        <v>2004</v>
      </c>
      <c r="E1963" t="s">
        <v>2000</v>
      </c>
      <c r="F1963" s="1" cm="1">
        <f t="array" ref="F1963">(SUMPRODUCT(("Var_Cap"=[1]OUT_TransportEnergyCons!$B$4:$B$10000)*1,ISNUMBER(SEARCH("T_B_u*ICE*DSL*ext",[1]OUT_TransportEnergyCons!$A$4:$A$10000))*1,[1]OUT_TransportEnergyCons!D$4:D$10000))*1000</f>
        <v>4.5678362175525304</v>
      </c>
      <c r="G1963" s="1" cm="1">
        <f t="array" ref="G1963">(SUMPRODUCT(("Var_Cap"=[1]OUT_TransportEnergyCons!$B$4:$B$10000)*1,ISNUMBER(SEARCH("T_B_u*ICE*DSL*ext",[1]OUT_TransportEnergyCons!$A$4:$A$10000))*1,[1]OUT_TransportEnergyCons!E$4:E$10000))*1000</f>
        <v>3.65426897404202</v>
      </c>
      <c r="H1963" s="1" cm="1">
        <f t="array" ref="H1963">(SUMPRODUCT(("Var_Cap"=[1]OUT_TransportEnergyCons!$B$4:$B$10000)*1,ISNUMBER(SEARCH("T_B_u*ICE*DSL*ext",[1]OUT_TransportEnergyCons!$A$4:$A$10000))*1,[1]OUT_TransportEnergyCons!F$4:F$10000))*1000</f>
        <v>2.2838681465924857</v>
      </c>
      <c r="I1963" s="1" cm="1">
        <f t="array" ref="I1963">(SUMPRODUCT(("Var_Cap"=[1]OUT_TransportEnergyCons!$B$4:$B$10000)*1,ISNUMBER(SEARCH("T_B_u*ICE*DSL*ext",[1]OUT_TransportEnergyCons!$A$4:$A$10000))*1,[1]OUT_TransportEnergyCons!G$4:G$10000))*1000</f>
        <v>0</v>
      </c>
      <c r="J1963" s="1" cm="1">
        <f t="array" ref="J1963">(SUMPRODUCT(("Var_Cap"=[1]OUT_TransportEnergyCons!$B$4:$B$10000)*1,ISNUMBER(SEARCH("T_B_u*ICE*DSL*ext",[1]OUT_TransportEnergyCons!$A$4:$A$10000))*1,[1]OUT_TransportEnergyCons!H$4:H$10000))*1000</f>
        <v>0</v>
      </c>
      <c r="K1963" s="1" cm="1">
        <f t="array" ref="K1963">(SUMPRODUCT(("Var_Cap"=[1]OUT_TransportEnergyCons!$B$4:$B$10000)*1,ISNUMBER(SEARCH("T_B_u*ICE*DSL*ext",[1]OUT_TransportEnergyCons!$A$4:$A$10000))*1,[1]OUT_TransportEnergyCons!I$4:I$10000))*1000</f>
        <v>0</v>
      </c>
    </row>
    <row r="1964" spans="2:11" x14ac:dyDescent="0.35">
      <c r="B1964" s="5" t="str">
        <f t="shared" si="1247"/>
        <v>SPS4</v>
      </c>
      <c r="C1964" s="5" t="str">
        <f t="shared" si="1249"/>
        <v>CH</v>
      </c>
      <c r="D1964" t="s">
        <v>1992</v>
      </c>
      <c r="E1964" t="s">
        <v>2000</v>
      </c>
      <c r="F1964" s="1" cm="1">
        <f t="array" ref="F1964">(SUMPRODUCT(("Var_Cap"=[1]OUT_TransportEnergyCons!$B$4:$B$10000)*1,ISNUMBER(SEARCH("T_B_u*ICE*DSL*s1",[1]OUT_TransportEnergyCons!$A$4:$A$10000))*1,[1]OUT_TransportEnergyCons!D$4:D$10000))*1000</f>
        <v>7.0464135021097002E-4</v>
      </c>
      <c r="G1964" s="1" cm="1">
        <f t="array" ref="G1964">(SUMPRODUCT(("Var_Cap"=[1]OUT_TransportEnergyCons!$B$4:$B$10000)*1,ISNUMBER(SEARCH("T_B_u*ICE*DSL*s1",[1]OUT_TransportEnergyCons!$A$4:$A$10000))*1,[1]OUT_TransportEnergyCons!E$4:E$10000))*1000</f>
        <v>0.63730711661617145</v>
      </c>
      <c r="H1964" s="1" cm="1">
        <f t="array" ref="H1964">(SUMPRODUCT(("Var_Cap"=[1]OUT_TransportEnergyCons!$B$4:$B$10000)*1,ISNUMBER(SEARCH("T_B_u*ICE*DSL*s1",[1]OUT_TransportEnergyCons!$A$4:$A$10000))*1,[1]OUT_TransportEnergyCons!F$4:F$10000))*1000</f>
        <v>1.1559246481014125</v>
      </c>
      <c r="I1964" s="1" cm="1">
        <f t="array" ref="I1964">(SUMPRODUCT(("Var_Cap"=[1]OUT_TransportEnergyCons!$B$4:$B$10000)*1,ISNUMBER(SEARCH("T_B_u*ICE*DSL*s1",[1]OUT_TransportEnergyCons!$A$4:$A$10000))*1,[1]OUT_TransportEnergyCons!G$4:G$10000))*1000</f>
        <v>8.4224481666349965E-5</v>
      </c>
      <c r="J1964" s="1" cm="1">
        <f t="array" ref="J1964">(SUMPRODUCT(("Var_Cap"=[1]OUT_TransportEnergyCons!$B$4:$B$10000)*1,ISNUMBER(SEARCH("T_B_u*ICE*DSL*s1",[1]OUT_TransportEnergyCons!$A$4:$A$10000))*1,[1]OUT_TransportEnergyCons!H$4:H$10000))*1000</f>
        <v>1.04852048208364E-5</v>
      </c>
      <c r="K1964" s="1" cm="1">
        <f t="array" ref="K1964">(SUMPRODUCT(("Var_Cap"=[1]OUT_TransportEnergyCons!$B$4:$B$10000)*1,ISNUMBER(SEARCH("T_B_u*ICE*DSL*s1",[1]OUT_TransportEnergyCons!$A$4:$A$10000))*1,[1]OUT_TransportEnergyCons!I$4:I$10000))*1000</f>
        <v>1.84003429558064E-6</v>
      </c>
    </row>
    <row r="1965" spans="2:11" x14ac:dyDescent="0.35">
      <c r="B1965" s="5" t="str">
        <f t="shared" si="1247"/>
        <v>SPS4</v>
      </c>
      <c r="C1965" s="5" t="str">
        <f t="shared" si="1249"/>
        <v>CH</v>
      </c>
      <c r="D1965" t="s">
        <v>1993</v>
      </c>
      <c r="E1965" t="s">
        <v>2000</v>
      </c>
      <c r="F1965" s="1" cm="1">
        <f t="array" ref="F1965">(SUMPRODUCT(("Var_Cap"=[1]OUT_TransportEnergyCons!$B$4:$B$10000)*1,ISNUMBER(SEARCH("T_B_u*ICE*DSL*s2",[1]OUT_TransportEnergyCons!$A$4:$A$10000))*1,[1]OUT_TransportEnergyCons!D$4:D$10000))*1000</f>
        <v>0.18426164374512943</v>
      </c>
      <c r="G1965" s="1" cm="1">
        <f t="array" ref="G1965">(SUMPRODUCT(("Var_Cap"=[1]OUT_TransportEnergyCons!$B$4:$B$10000)*1,ISNUMBER(SEARCH("T_B_u*ICE*DSL*s2",[1]OUT_TransportEnergyCons!$A$4:$A$10000))*1,[1]OUT_TransportEnergyCons!E$4:E$10000))*1000</f>
        <v>0.22800885963566728</v>
      </c>
      <c r="H1965" s="1" cm="1">
        <f t="array" ref="H1965">(SUMPRODUCT(("Var_Cap"=[1]OUT_TransportEnergyCons!$B$4:$B$10000)*1,ISNUMBER(SEARCH("T_B_u*ICE*DSL*s2",[1]OUT_TransportEnergyCons!$A$4:$A$10000))*1,[1]OUT_TransportEnergyCons!F$4:F$10000))*1000</f>
        <v>0.38343878947324911</v>
      </c>
      <c r="I1965" s="1" cm="1">
        <f t="array" ref="I1965">(SUMPRODUCT(("Var_Cap"=[1]OUT_TransportEnergyCons!$B$4:$B$10000)*1,ISNUMBER(SEARCH("T_B_u*ICE*DSL*s2",[1]OUT_TransportEnergyCons!$A$4:$A$10000))*1,[1]OUT_TransportEnergyCons!G$4:G$10000))*1000</f>
        <v>-1.1676508923001792E-5</v>
      </c>
      <c r="J1965" s="1" cm="1">
        <f t="array" ref="J1965">(SUMPRODUCT(("Var_Cap"=[1]OUT_TransportEnergyCons!$B$4:$B$10000)*1,ISNUMBER(SEARCH("T_B_u*ICE*DSL*s2",[1]OUT_TransportEnergyCons!$A$4:$A$10000))*1,[1]OUT_TransportEnergyCons!H$4:H$10000))*1000</f>
        <v>0</v>
      </c>
      <c r="K1965" s="1" cm="1">
        <f t="array" ref="K1965">(SUMPRODUCT(("Var_Cap"=[1]OUT_TransportEnergyCons!$B$4:$B$10000)*1,ISNUMBER(SEARCH("T_B_u*ICE*DSL*s2",[1]OUT_TransportEnergyCons!$A$4:$A$10000))*1,[1]OUT_TransportEnergyCons!I$4:I$10000))*1000</f>
        <v>0</v>
      </c>
    </row>
    <row r="1966" spans="2:11" x14ac:dyDescent="0.35">
      <c r="B1966" s="5" t="str">
        <f t="shared" si="1247"/>
        <v>SPS4</v>
      </c>
      <c r="C1966" s="5" t="str">
        <f t="shared" si="1249"/>
        <v>CH</v>
      </c>
      <c r="D1966" t="s">
        <v>1994</v>
      </c>
      <c r="E1966" t="s">
        <v>2000</v>
      </c>
      <c r="F1966" s="1" cm="1">
        <f t="array" ref="F1966">(SUMPRODUCT(("Var_Cap"=[1]OUT_TransportEnergyCons!$B$4:$B$10000)*1,ISNUMBER(SEARCH("T_B_u*ICE*DSL*s3",[1]OUT_TransportEnergyCons!$A$4:$A$10000))*1,[1]OUT_TransportEnergyCons!D$4:D$10000))*1000</f>
        <v>0.80647215764766866</v>
      </c>
      <c r="G1966" s="1" cm="1">
        <f t="array" ref="G1966">(SUMPRODUCT(("Var_Cap"=[1]OUT_TransportEnergyCons!$B$4:$B$10000)*1,ISNUMBER(SEARCH("T_B_u*ICE*DSL*s3",[1]OUT_TransportEnergyCons!$A$4:$A$10000))*1,[1]OUT_TransportEnergyCons!E$4:E$10000))*1000</f>
        <v>0.95471950490925561</v>
      </c>
      <c r="H1966" s="1" cm="1">
        <f t="array" ref="H1966">(SUMPRODUCT(("Var_Cap"=[1]OUT_TransportEnergyCons!$B$4:$B$10000)*1,ISNUMBER(SEARCH("T_B_u*ICE*DSL*s3",[1]OUT_TransportEnergyCons!$A$4:$A$10000))*1,[1]OUT_TransportEnergyCons!F$4:F$10000))*1000</f>
        <v>0.95513038747128709</v>
      </c>
      <c r="I1966" s="1" cm="1">
        <f t="array" ref="I1966">(SUMPRODUCT(("Var_Cap"=[1]OUT_TransportEnergyCons!$B$4:$B$10000)*1,ISNUMBER(SEARCH("T_B_u*ICE*DSL*s3",[1]OUT_TransportEnergyCons!$A$4:$A$10000))*1,[1]OUT_TransportEnergyCons!G$4:G$10000))*1000</f>
        <v>-1.2226534685405056E-5</v>
      </c>
      <c r="J1966" s="1" cm="1">
        <f t="array" ref="J1966">(SUMPRODUCT(("Var_Cap"=[1]OUT_TransportEnergyCons!$B$4:$B$10000)*1,ISNUMBER(SEARCH("T_B_u*ICE*DSL*s3",[1]OUT_TransportEnergyCons!$A$4:$A$10000))*1,[1]OUT_TransportEnergyCons!H$4:H$10000))*1000</f>
        <v>0</v>
      </c>
      <c r="K1966" s="1" cm="1">
        <f t="array" ref="K1966">(SUMPRODUCT(("Var_Cap"=[1]OUT_TransportEnergyCons!$B$4:$B$10000)*1,ISNUMBER(SEARCH("T_B_u*ICE*DSL*s3",[1]OUT_TransportEnergyCons!$A$4:$A$10000))*1,[1]OUT_TransportEnergyCons!I$4:I$10000))*1000</f>
        <v>0</v>
      </c>
    </row>
    <row r="1967" spans="2:11" x14ac:dyDescent="0.35">
      <c r="B1967" s="5" t="str">
        <f t="shared" si="1247"/>
        <v>SPS4</v>
      </c>
      <c r="C1967" s="5" t="str">
        <f t="shared" si="1249"/>
        <v>CH</v>
      </c>
      <c r="D1967" t="s">
        <v>1995</v>
      </c>
      <c r="E1967" t="s">
        <v>2000</v>
      </c>
      <c r="F1967" s="1" cm="1">
        <f t="array" ref="F1967">(SUMPRODUCT(("Var_Cap"=[1]OUT_TransportEnergyCons!$B$4:$B$10000)*1,ISNUMBER(SEARCH("T_B_u*ICE*DSL*s4",[1]OUT_TransportEnergyCons!$A$4:$A$10000))*1,[1]OUT_TransportEnergyCons!D$4:D$10000))*1000</f>
        <v>3.106918212731419E-3</v>
      </c>
      <c r="G1967" s="1" cm="1">
        <f t="array" ref="G1967">(SUMPRODUCT(("Var_Cap"=[1]OUT_TransportEnergyCons!$B$4:$B$10000)*1,ISNUMBER(SEARCH("T_B_u*ICE*DSL*s4",[1]OUT_TransportEnergyCons!$A$4:$A$10000))*1,[1]OUT_TransportEnergyCons!E$4:E$10000))*1000</f>
        <v>1.7116990744265386E-4</v>
      </c>
      <c r="H1967" s="1" cm="1">
        <f t="array" ref="H1967">(SUMPRODUCT(("Var_Cap"=[1]OUT_TransportEnergyCons!$B$4:$B$10000)*1,ISNUMBER(SEARCH("T_B_u*ICE*DSL*s4",[1]OUT_TransportEnergyCons!$A$4:$A$10000))*1,[1]OUT_TransportEnergyCons!F$4:F$10000))*1000</f>
        <v>2.6883862975449386E-4</v>
      </c>
      <c r="I1967" s="1" cm="1">
        <f t="array" ref="I1967">(SUMPRODUCT(("Var_Cap"=[1]OUT_TransportEnergyCons!$B$4:$B$10000)*1,ISNUMBER(SEARCH("T_B_u*ICE*DSL*s4",[1]OUT_TransportEnergyCons!$A$4:$A$10000))*1,[1]OUT_TransportEnergyCons!G$4:G$10000))*1000</f>
        <v>-1.2052988499730161E-5</v>
      </c>
      <c r="J1967" s="1" cm="1">
        <f t="array" ref="J1967">(SUMPRODUCT(("Var_Cap"=[1]OUT_TransportEnergyCons!$B$4:$B$10000)*1,ISNUMBER(SEARCH("T_B_u*ICE*DSL*s4",[1]OUT_TransportEnergyCons!$A$4:$A$10000))*1,[1]OUT_TransportEnergyCons!H$4:H$10000))*1000</f>
        <v>0</v>
      </c>
      <c r="K1967" s="1" cm="1">
        <f t="array" ref="K1967">(SUMPRODUCT(("Var_Cap"=[1]OUT_TransportEnergyCons!$B$4:$B$10000)*1,ISNUMBER(SEARCH("T_B_u*ICE*DSL*s4",[1]OUT_TransportEnergyCons!$A$4:$A$10000))*1,[1]OUT_TransportEnergyCons!I$4:I$10000))*1000</f>
        <v>0</v>
      </c>
    </row>
    <row r="1968" spans="2:11" x14ac:dyDescent="0.35">
      <c r="B1968" s="5" t="str">
        <f t="shared" si="1247"/>
        <v>SPS4</v>
      </c>
      <c r="C1968" s="5" t="str">
        <f t="shared" si="1249"/>
        <v>CH</v>
      </c>
      <c r="D1968" t="s">
        <v>2008</v>
      </c>
      <c r="E1968" t="s">
        <v>2000</v>
      </c>
      <c r="F1968" s="1" cm="1">
        <f t="array" ref="F1968">(SUMPRODUCT(("Var_Cap"=[1]OUT_TransportEnergyCons!$B$4:$B$10000)*1,ISNUMBER(SEARCH("T_B_u*ICE*nga*ext",[1]OUT_TransportEnergyCons!$A$4:$A$10000))*1,[1]OUT_TransportEnergyCons!D$4:D$10000))*1000</f>
        <v>8.3575401730531504E-2</v>
      </c>
      <c r="G1968" s="1" cm="1">
        <f t="array" ref="G1968">(SUMPRODUCT(("Var_Cap"=[1]OUT_TransportEnergyCons!$B$4:$B$10000)*1,ISNUMBER(SEARCH("T_B_u*ICE*nga*ext",[1]OUT_TransportEnergyCons!$A$4:$A$10000))*1,[1]OUT_TransportEnergyCons!E$4:E$10000))*1000</f>
        <v>6.68603213844252E-2</v>
      </c>
      <c r="H1968" s="1" cm="1">
        <f t="array" ref="H1968">(SUMPRODUCT(("Var_Cap"=[1]OUT_TransportEnergyCons!$B$4:$B$10000)*1,ISNUMBER(SEARCH("T_B_u*ICE*nga*ext",[1]OUT_TransportEnergyCons!$A$4:$A$10000))*1,[1]OUT_TransportEnergyCons!F$4:F$10000))*1000</f>
        <v>4.1787700865265807E-2</v>
      </c>
      <c r="I1968" s="1" cm="1">
        <f t="array" ref="I1968">(SUMPRODUCT(("Var_Cap"=[1]OUT_TransportEnergyCons!$B$4:$B$10000)*1,ISNUMBER(SEARCH("T_B_u*ICE*nga*ext",[1]OUT_TransportEnergyCons!$A$4:$A$10000))*1,[1]OUT_TransportEnergyCons!G$4:G$10000))*1000</f>
        <v>0</v>
      </c>
      <c r="J1968" s="1" cm="1">
        <f t="array" ref="J1968">(SUMPRODUCT(("Var_Cap"=[1]OUT_TransportEnergyCons!$B$4:$B$10000)*1,ISNUMBER(SEARCH("T_B_u*ICE*nga*ext",[1]OUT_TransportEnergyCons!$A$4:$A$10000))*1,[1]OUT_TransportEnergyCons!H$4:H$10000))*1000</f>
        <v>0</v>
      </c>
      <c r="K1968" s="1" cm="1">
        <f t="array" ref="K1968">(SUMPRODUCT(("Var_Cap"=[1]OUT_TransportEnergyCons!$B$4:$B$10000)*1,ISNUMBER(SEARCH("T_B_u*ICE*nga*ext",[1]OUT_TransportEnergyCons!$A$4:$A$10000))*1,[1]OUT_TransportEnergyCons!I$4:I$10000))*1000</f>
        <v>0</v>
      </c>
    </row>
    <row r="1969" spans="2:11" x14ac:dyDescent="0.35">
      <c r="B1969" s="5" t="str">
        <f t="shared" si="1247"/>
        <v>SPS4</v>
      </c>
      <c r="C1969" s="5" t="str">
        <f t="shared" si="1249"/>
        <v>CH</v>
      </c>
      <c r="D1969" t="s">
        <v>1996</v>
      </c>
      <c r="E1969" t="s">
        <v>2000</v>
      </c>
      <c r="F1969" s="1" cm="1">
        <f t="array" ref="F1969">(SUMPRODUCT(("Var_Cap"=[1]OUT_TransportEnergyCons!$B$4:$B$10000)*1,ISNUMBER(SEARCH("T_B_u*ICE*nga*s1",[1]OUT_TransportEnergyCons!$A$4:$A$10000))*1,[1]OUT_TransportEnergyCons!D$4:D$10000))*1000</f>
        <v>0</v>
      </c>
      <c r="G1969" s="1" cm="1">
        <f t="array" ref="G1969">(SUMPRODUCT(("Var_Cap"=[1]OUT_TransportEnergyCons!$B$4:$B$10000)*1,ISNUMBER(SEARCH("T_B_u*ICE*nga*s1",[1]OUT_TransportEnergyCons!$A$4:$A$10000))*1,[1]OUT_TransportEnergyCons!E$4:E$10000))*1000</f>
        <v>4.4743781226219898E-4</v>
      </c>
      <c r="H1969" s="1" cm="1">
        <f t="array" ref="H1969">(SUMPRODUCT(("Var_Cap"=[1]OUT_TransportEnergyCons!$B$4:$B$10000)*1,ISNUMBER(SEARCH("T_B_u*ICE*nga*s1",[1]OUT_TransportEnergyCons!$A$4:$A$10000))*1,[1]OUT_TransportEnergyCons!F$4:F$10000))*1000</f>
        <v>2.7741724957199001E-3</v>
      </c>
      <c r="I1969" s="1" cm="1">
        <f t="array" ref="I1969">(SUMPRODUCT(("Var_Cap"=[1]OUT_TransportEnergyCons!$B$4:$B$10000)*1,ISNUMBER(SEARCH("T_B_u*ICE*nga*s1",[1]OUT_TransportEnergyCons!$A$4:$A$10000))*1,[1]OUT_TransportEnergyCons!G$4:G$10000))*1000</f>
        <v>4.1155816654870337E-5</v>
      </c>
      <c r="J1969" s="1" cm="1">
        <f t="array" ref="J1969">(SUMPRODUCT(("Var_Cap"=[1]OUT_TransportEnergyCons!$B$4:$B$10000)*1,ISNUMBER(SEARCH("T_B_u*ICE*nga*s1",[1]OUT_TransportEnergyCons!$A$4:$A$10000))*1,[1]OUT_TransportEnergyCons!H$4:H$10000))*1000</f>
        <v>3.9404567824317599E-5</v>
      </c>
      <c r="K1969" s="1" cm="1">
        <f t="array" ref="K1969">(SUMPRODUCT(("Var_Cap"=[1]OUT_TransportEnergyCons!$B$4:$B$10000)*1,ISNUMBER(SEARCH("T_B_u*ICE*nga*s1",[1]OUT_TransportEnergyCons!$A$4:$A$10000))*1,[1]OUT_TransportEnergyCons!I$4:I$10000))*1000</f>
        <v>3.0188446988778798E-5</v>
      </c>
    </row>
    <row r="1970" spans="2:11" x14ac:dyDescent="0.35">
      <c r="B1970" s="5" t="str">
        <f t="shared" si="1247"/>
        <v>SPS4</v>
      </c>
      <c r="C1970" s="5" t="str">
        <f t="shared" si="1249"/>
        <v>CH</v>
      </c>
      <c r="D1970" t="s">
        <v>1997</v>
      </c>
      <c r="E1970" t="s">
        <v>2000</v>
      </c>
      <c r="F1970" s="1" cm="1">
        <f t="array" ref="F1970">(SUMPRODUCT(("Var_Cap"=[1]OUT_TransportEnergyCons!$B$4:$B$10000)*1,ISNUMBER(SEARCH("T_B_u*ICE*nga*s2",[1]OUT_TransportEnergyCons!$A$4:$A$10000))*1,[1]OUT_TransportEnergyCons!D$4:D$10000))*1000</f>
        <v>0</v>
      </c>
      <c r="G1970" s="1" cm="1">
        <f t="array" ref="G1970">(SUMPRODUCT(("Var_Cap"=[1]OUT_TransportEnergyCons!$B$4:$B$10000)*1,ISNUMBER(SEARCH("T_B_u*ICE*nga*s2",[1]OUT_TransportEnergyCons!$A$4:$A$10000))*1,[1]OUT_TransportEnergyCons!E$4:E$10000))*1000</f>
        <v>1.8021199279879202E-4</v>
      </c>
      <c r="H1970" s="1" cm="1">
        <f t="array" ref="H1970">(SUMPRODUCT(("Var_Cap"=[1]OUT_TransportEnergyCons!$B$4:$B$10000)*1,ISNUMBER(SEARCH("T_B_u*ICE*nga*s2",[1]OUT_TransportEnergyCons!$A$4:$A$10000))*1,[1]OUT_TransportEnergyCons!F$4:F$10000))*1000</f>
        <v>2.8958171303199002E-2</v>
      </c>
      <c r="I1970" s="1" cm="1">
        <f t="array" ref="I1970">(SUMPRODUCT(("Var_Cap"=[1]OUT_TransportEnergyCons!$B$4:$B$10000)*1,ISNUMBER(SEARCH("T_B_u*ICE*nga*s2",[1]OUT_TransportEnergyCons!$A$4:$A$10000))*1,[1]OUT_TransportEnergyCons!G$4:G$10000))*1000</f>
        <v>1.0156308455099613E-5</v>
      </c>
      <c r="J1970" s="1" cm="1">
        <f t="array" ref="J1970">(SUMPRODUCT(("Var_Cap"=[1]OUT_TransportEnergyCons!$B$4:$B$10000)*1,ISNUMBER(SEARCH("T_B_u*ICE*nga*s2",[1]OUT_TransportEnergyCons!$A$4:$A$10000))*1,[1]OUT_TransportEnergyCons!H$4:H$10000))*1000</f>
        <v>0</v>
      </c>
      <c r="K1970" s="1" cm="1">
        <f t="array" ref="K1970">(SUMPRODUCT(("Var_Cap"=[1]OUT_TransportEnergyCons!$B$4:$B$10000)*1,ISNUMBER(SEARCH("T_B_u*ICE*nga*s2",[1]OUT_TransportEnergyCons!$A$4:$A$10000))*1,[1]OUT_TransportEnergyCons!I$4:I$10000))*1000</f>
        <v>0</v>
      </c>
    </row>
    <row r="1971" spans="2:11" x14ac:dyDescent="0.35">
      <c r="B1971" s="5" t="str">
        <f t="shared" si="1247"/>
        <v>SPS4</v>
      </c>
      <c r="C1971" s="5" t="str">
        <f t="shared" si="1249"/>
        <v>CH</v>
      </c>
      <c r="D1971" t="s">
        <v>1998</v>
      </c>
      <c r="E1971" t="s">
        <v>2000</v>
      </c>
      <c r="F1971" s="1" cm="1">
        <f t="array" ref="F1971">(SUMPRODUCT(("Var_Cap"=[1]OUT_TransportEnergyCons!$B$4:$B$10000)*1,ISNUMBER(SEARCH("T_B_u*ICE*nga*s3",[1]OUT_TransportEnergyCons!$A$4:$A$10000))*1,[1]OUT_TransportEnergyCons!D$4:D$10000))*1000</f>
        <v>0</v>
      </c>
      <c r="G1971" s="1" cm="1">
        <f t="array" ref="G1971">(SUMPRODUCT(("Var_Cap"=[1]OUT_TransportEnergyCons!$B$4:$B$10000)*1,ISNUMBER(SEARCH("T_B_u*ICE*nga*s3",[1]OUT_TransportEnergyCons!$A$4:$A$10000))*1,[1]OUT_TransportEnergyCons!E$4:E$10000))*1000</f>
        <v>7.5335485005301989E-5</v>
      </c>
      <c r="H1971" s="1" cm="1">
        <f t="array" ref="H1971">(SUMPRODUCT(("Var_Cap"=[1]OUT_TransportEnergyCons!$B$4:$B$10000)*1,ISNUMBER(SEARCH("T_B_u*ICE*nga*s3",[1]OUT_TransportEnergyCons!$A$4:$A$10000))*1,[1]OUT_TransportEnergyCons!F$4:F$10000))*1000</f>
        <v>3.3900650608208399E-4</v>
      </c>
      <c r="I1971" s="1" cm="1">
        <f t="array" ref="I1971">(SUMPRODUCT(("Var_Cap"=[1]OUT_TransportEnergyCons!$B$4:$B$10000)*1,ISNUMBER(SEARCH("T_B_u*ICE*nga*s3",[1]OUT_TransportEnergyCons!$A$4:$A$10000))*1,[1]OUT_TransportEnergyCons!G$4:G$10000))*1000</f>
        <v>-1.230735884710122E-7</v>
      </c>
      <c r="J1971" s="1" cm="1">
        <f t="array" ref="J1971">(SUMPRODUCT(("Var_Cap"=[1]OUT_TransportEnergyCons!$B$4:$B$10000)*1,ISNUMBER(SEARCH("T_B_u*ICE*nga*s3",[1]OUT_TransportEnergyCons!$A$4:$A$10000))*1,[1]OUT_TransportEnergyCons!H$4:H$10000))*1000</f>
        <v>0</v>
      </c>
      <c r="K1971" s="1" cm="1">
        <f t="array" ref="K1971">(SUMPRODUCT(("Var_Cap"=[1]OUT_TransportEnergyCons!$B$4:$B$10000)*1,ISNUMBER(SEARCH("T_B_u*ICE*nga*s3",[1]OUT_TransportEnergyCons!$A$4:$A$10000))*1,[1]OUT_TransportEnergyCons!I$4:I$10000))*1000</f>
        <v>0</v>
      </c>
    </row>
    <row r="1972" spans="2:11" x14ac:dyDescent="0.35">
      <c r="B1972" s="5" t="str">
        <f t="shared" ref="B1972:B2035" si="1250">B1971</f>
        <v>SPS4</v>
      </c>
      <c r="C1972" s="5" t="str">
        <f t="shared" si="1249"/>
        <v>CH</v>
      </c>
      <c r="D1972" t="s">
        <v>1999</v>
      </c>
      <c r="E1972" t="s">
        <v>2000</v>
      </c>
      <c r="F1972" s="1" cm="1">
        <f t="array" ref="F1972">(SUMPRODUCT(("Var_Cap"=[1]OUT_TransportEnergyCons!$B$4:$B$10000)*1,ISNUMBER(SEARCH("T_B_u*ICE*nga*s4",[1]OUT_TransportEnergyCons!$A$4:$A$10000))*1,[1]OUT_TransportEnergyCons!D$4:D$10000))*1000</f>
        <v>0</v>
      </c>
      <c r="G1972" s="1" cm="1">
        <f t="array" ref="G1972">(SUMPRODUCT(("Var_Cap"=[1]OUT_TransportEnergyCons!$B$4:$B$10000)*1,ISNUMBER(SEARCH("T_B_u*ICE*nga*s4",[1]OUT_TransportEnergyCons!$A$4:$A$10000))*1,[1]OUT_TransportEnergyCons!E$4:E$10000))*1000</f>
        <v>0</v>
      </c>
      <c r="H1972" s="1" cm="1">
        <f t="array" ref="H1972">(SUMPRODUCT(("Var_Cap"=[1]OUT_TransportEnergyCons!$B$4:$B$10000)*1,ISNUMBER(SEARCH("T_B_u*ICE*nga*s4",[1]OUT_TransportEnergyCons!$A$4:$A$10000))*1,[1]OUT_TransportEnergyCons!F$4:F$10000))*1000</f>
        <v>1.4991841790646799E-5</v>
      </c>
      <c r="I1972" s="1" cm="1">
        <f t="array" ref="I1972">(SUMPRODUCT(("Var_Cap"=[1]OUT_TransportEnergyCons!$B$4:$B$10000)*1,ISNUMBER(SEARCH("T_B_u*ICE*nga*s4",[1]OUT_TransportEnergyCons!$A$4:$A$10000))*1,[1]OUT_TransportEnergyCons!G$4:G$10000))*1000</f>
        <v>-5.0186842453992009E-6</v>
      </c>
      <c r="J1972" s="1" cm="1">
        <f t="array" ref="J1972">(SUMPRODUCT(("Var_Cap"=[1]OUT_TransportEnergyCons!$B$4:$B$10000)*1,ISNUMBER(SEARCH("T_B_u*ICE*nga*s4",[1]OUT_TransportEnergyCons!$A$4:$A$10000))*1,[1]OUT_TransportEnergyCons!H$4:H$10000))*1000</f>
        <v>0</v>
      </c>
      <c r="K1972" s="1" cm="1">
        <f t="array" ref="K1972">(SUMPRODUCT(("Var_Cap"=[1]OUT_TransportEnergyCons!$B$4:$B$10000)*1,ISNUMBER(SEARCH("T_B_u*ICE*nga*s4",[1]OUT_TransportEnergyCons!$A$4:$A$10000))*1,[1]OUT_TransportEnergyCons!I$4:I$10000))*1000</f>
        <v>0</v>
      </c>
    </row>
    <row r="1973" spans="2:11" x14ac:dyDescent="0.35">
      <c r="B1973" s="5" t="str">
        <f t="shared" si="1250"/>
        <v>SPS4</v>
      </c>
      <c r="C1973" s="5" t="str">
        <f>C1972</f>
        <v>CH</v>
      </c>
      <c r="D1973" s="2" t="s">
        <v>1978</v>
      </c>
      <c r="E1973" s="2" t="s">
        <v>2000</v>
      </c>
      <c r="F1973" s="3">
        <f>SUM(F1974:F1996)</f>
        <v>2.8480865629748457</v>
      </c>
      <c r="G1973" s="3">
        <f t="shared" ref="G1973" si="1251">SUM(G1974:G1996)</f>
        <v>2.9501572065932167</v>
      </c>
      <c r="H1973" s="3">
        <f t="shared" ref="H1973" si="1252">SUM(H1974:H1996)</f>
        <v>2.8858805673219599</v>
      </c>
      <c r="I1973" s="3">
        <f t="shared" ref="I1973" si="1253">SUM(I1974:I1996)</f>
        <v>2.9273713863882502</v>
      </c>
      <c r="J1973" s="3">
        <f t="shared" ref="J1973" si="1254">SUM(J1974:J1996)</f>
        <v>2.929106675532791</v>
      </c>
      <c r="K1973" s="3">
        <f t="shared" ref="K1973" si="1255">SUM(K1974:K1996)</f>
        <v>2.8995447340160556</v>
      </c>
    </row>
    <row r="1974" spans="2:11" x14ac:dyDescent="0.35">
      <c r="B1974" s="5" t="str">
        <f t="shared" si="1250"/>
        <v>SPS4</v>
      </c>
      <c r="C1974" s="5" t="str">
        <f t="shared" ref="C1974:C1996" si="1256">C1973</f>
        <v>CH</v>
      </c>
      <c r="D1974" t="s">
        <v>2009</v>
      </c>
      <c r="E1974" t="s">
        <v>2000</v>
      </c>
      <c r="F1974" s="1" cm="1">
        <f t="array" ref="F1974">(SUMPRODUCT(("Var_Cap"=[1]OUT_TransportEnergyCons!$B$4:$B$10000)*1,ISNUMBER(SEARCH("T_b_c*bev*ext",[1]OUT_TransportEnergyCons!$A$4:$A$10000))*1,[1]OUT_TransportEnergyCons!D$4:D$10000))*1000</f>
        <v>0</v>
      </c>
      <c r="G1974" s="1" cm="1">
        <f t="array" ref="G1974">(SUMPRODUCT(("Var_Cap"=[1]OUT_TransportEnergyCons!$B$4:$B$10000)*1,ISNUMBER(SEARCH("T_b_c*bev*ext",[1]OUT_TransportEnergyCons!$A$4:$A$10000))*1,[1]OUT_TransportEnergyCons!E$4:E$10000))*1000</f>
        <v>0</v>
      </c>
      <c r="H1974" s="1" cm="1">
        <f t="array" ref="H1974">(SUMPRODUCT(("Var_Cap"=[1]OUT_TransportEnergyCons!$B$4:$B$10000)*1,ISNUMBER(SEARCH("T_b_c*bev*ext",[1]OUT_TransportEnergyCons!$A$4:$A$10000))*1,[1]OUT_TransportEnergyCons!F$4:F$10000))*1000</f>
        <v>0</v>
      </c>
      <c r="I1974" s="1" cm="1">
        <f t="array" ref="I1974">(SUMPRODUCT(("Var_Cap"=[1]OUT_TransportEnergyCons!$B$4:$B$10000)*1,ISNUMBER(SEARCH("T_b_c*bev*ext",[1]OUT_TransportEnergyCons!$A$4:$A$10000))*1,[1]OUT_TransportEnergyCons!G$4:G$10000))*1000</f>
        <v>0</v>
      </c>
      <c r="J1974" s="1" cm="1">
        <f t="array" ref="J1974">(SUMPRODUCT(("Var_Cap"=[1]OUT_TransportEnergyCons!$B$4:$B$10000)*1,ISNUMBER(SEARCH("T_b_c*bev*ext",[1]OUT_TransportEnergyCons!$A$4:$A$10000))*1,[1]OUT_TransportEnergyCons!H$4:H$10000))*1000</f>
        <v>0</v>
      </c>
      <c r="K1974" s="1" cm="1">
        <f t="array" ref="K1974">(SUMPRODUCT(("Var_Cap"=[1]OUT_TransportEnergyCons!$B$4:$B$10000)*1,ISNUMBER(SEARCH("T_b_c*bev*ext",[1]OUT_TransportEnergyCons!$A$4:$A$10000))*1,[1]OUT_TransportEnergyCons!I$4:I$10000))*1000</f>
        <v>0</v>
      </c>
    </row>
    <row r="1975" spans="2:11" x14ac:dyDescent="0.35">
      <c r="B1975" s="5" t="str">
        <f t="shared" si="1250"/>
        <v>SPS4</v>
      </c>
      <c r="C1975" s="5" t="str">
        <f t="shared" si="1256"/>
        <v>CH</v>
      </c>
      <c r="D1975" t="s">
        <v>2010</v>
      </c>
      <c r="E1975" t="s">
        <v>2000</v>
      </c>
      <c r="F1975" s="1" cm="1">
        <f t="array" ref="F1975">(SUMPRODUCT(("Var_Cap"=[1]OUT_TransportEnergyCons!$B$4:$B$10000)*1,ISNUMBER(SEARCH("T_b_c*bev*s1",[1]OUT_TransportEnergyCons!$A$4:$A$10000))*1,[1]OUT_TransportEnergyCons!D$4:D$10000))*1000</f>
        <v>3.085785214161859E-3</v>
      </c>
      <c r="G1975" s="1" cm="1">
        <f t="array" ref="G1975">(SUMPRODUCT(("Var_Cap"=[1]OUT_TransportEnergyCons!$B$4:$B$10000)*1,ISNUMBER(SEARCH("T_b_c*bev*s1",[1]OUT_TransportEnergyCons!$A$4:$A$10000))*1,[1]OUT_TransportEnergyCons!E$4:E$10000))*1000</f>
        <v>4.1522401135871013E-3</v>
      </c>
      <c r="H1975" s="1" cm="1">
        <f t="array" ref="H1975">(SUMPRODUCT(("Var_Cap"=[1]OUT_TransportEnergyCons!$B$4:$B$10000)*1,ISNUMBER(SEARCH("T_b_c*bev*s1",[1]OUT_TransportEnergyCons!$A$4:$A$10000))*1,[1]OUT_TransportEnergyCons!F$4:F$10000))*1000</f>
        <v>6.3300935414927883E-3</v>
      </c>
      <c r="I1975" s="1" cm="1">
        <f t="array" ref="I1975">(SUMPRODUCT(("Var_Cap"=[1]OUT_TransportEnergyCons!$B$4:$B$10000)*1,ISNUMBER(SEARCH("T_b_c*bev*s1",[1]OUT_TransportEnergyCons!$A$4:$A$10000))*1,[1]OUT_TransportEnergyCons!G$4:G$10000))*1000</f>
        <v>1.4080046559174531</v>
      </c>
      <c r="J1975" s="1" cm="1">
        <f t="array" ref="J1975">(SUMPRODUCT(("Var_Cap"=[1]OUT_TransportEnergyCons!$B$4:$B$10000)*1,ISNUMBER(SEARCH("T_b_c*bev*s1",[1]OUT_TransportEnergyCons!$A$4:$A$10000))*1,[1]OUT_TransportEnergyCons!H$4:H$10000))*1000</f>
        <v>1.3873461194661931</v>
      </c>
      <c r="K1975" s="1" cm="1">
        <f t="array" ref="K1975">(SUMPRODUCT(("Var_Cap"=[1]OUT_TransportEnergyCons!$B$4:$B$10000)*1,ISNUMBER(SEARCH("T_b_c*bev*s1",[1]OUT_TransportEnergyCons!$A$4:$A$10000))*1,[1]OUT_TransportEnergyCons!I$4:I$10000))*1000</f>
        <v>1.4111358387094786</v>
      </c>
    </row>
    <row r="1976" spans="2:11" x14ac:dyDescent="0.35">
      <c r="B1976" s="5" t="str">
        <f t="shared" si="1250"/>
        <v>SPS4</v>
      </c>
      <c r="C1976" s="5" t="str">
        <f t="shared" si="1256"/>
        <v>CH</v>
      </c>
      <c r="D1976" t="s">
        <v>2011</v>
      </c>
      <c r="E1976" t="s">
        <v>2000</v>
      </c>
      <c r="F1976" s="1" cm="1">
        <f t="array" ref="F1976">(SUMPRODUCT(("Var_Cap"=[1]OUT_TransportEnergyCons!$B$4:$B$10000)*1,ISNUMBER(SEARCH("T_b_c*bev*s2",[1]OUT_TransportEnergyCons!$A$4:$A$10000))*1,[1]OUT_TransportEnergyCons!D$4:D$10000))*1000</f>
        <v>4.2634344368916001E-3</v>
      </c>
      <c r="G1976" s="1" cm="1">
        <f t="array" ref="G1976">(SUMPRODUCT(("Var_Cap"=[1]OUT_TransportEnergyCons!$B$4:$B$10000)*1,ISNUMBER(SEARCH("T_b_c*bev*s2",[1]OUT_TransportEnergyCons!$A$4:$A$10000))*1,[1]OUT_TransportEnergyCons!E$4:E$10000))*1000</f>
        <v>4.1178913814320164E-3</v>
      </c>
      <c r="H1976" s="1" cm="1">
        <f t="array" ref="H1976">(SUMPRODUCT(("Var_Cap"=[1]OUT_TransportEnergyCons!$B$4:$B$10000)*1,ISNUMBER(SEARCH("T_b_c*bev*s2",[1]OUT_TransportEnergyCons!$A$4:$A$10000))*1,[1]OUT_TransportEnergyCons!F$4:F$10000))*1000</f>
        <v>5.8965156684607613E-3</v>
      </c>
      <c r="I1976" s="1" cm="1">
        <f t="array" ref="I1976">(SUMPRODUCT(("Var_Cap"=[1]OUT_TransportEnergyCons!$B$4:$B$10000)*1,ISNUMBER(SEARCH("T_b_c*bev*s2",[1]OUT_TransportEnergyCons!$A$4:$A$10000))*1,[1]OUT_TransportEnergyCons!G$4:G$10000))*1000</f>
        <v>0.49119868352016199</v>
      </c>
      <c r="J1976" s="1" cm="1">
        <f t="array" ref="J1976">(SUMPRODUCT(("Var_Cap"=[1]OUT_TransportEnergyCons!$B$4:$B$10000)*1,ISNUMBER(SEARCH("T_b_c*bev*s2",[1]OUT_TransportEnergyCons!$A$4:$A$10000))*1,[1]OUT_TransportEnergyCons!H$4:H$10000))*1000</f>
        <v>0.50653492636979491</v>
      </c>
      <c r="K1976" s="1" cm="1">
        <f t="array" ref="K1976">(SUMPRODUCT(("Var_Cap"=[1]OUT_TransportEnergyCons!$B$4:$B$10000)*1,ISNUMBER(SEARCH("T_b_c*bev*s2",[1]OUT_TransportEnergyCons!$A$4:$A$10000))*1,[1]OUT_TransportEnergyCons!I$4:I$10000))*1000</f>
        <v>0.48677151548864589</v>
      </c>
    </row>
    <row r="1977" spans="2:11" x14ac:dyDescent="0.35">
      <c r="B1977" s="5" t="str">
        <f t="shared" si="1250"/>
        <v>SPS4</v>
      </c>
      <c r="C1977" s="5" t="str">
        <f t="shared" si="1256"/>
        <v>CH</v>
      </c>
      <c r="D1977" t="s">
        <v>2012</v>
      </c>
      <c r="E1977" t="s">
        <v>2000</v>
      </c>
      <c r="F1977" s="1" cm="1">
        <f t="array" ref="F1977">(SUMPRODUCT(("Var_Cap"=[1]OUT_TransportEnergyCons!$B$4:$B$10000)*1,ISNUMBER(SEARCH("T_b_c*bev*s3",[1]OUT_TransportEnergyCons!$A$4:$A$10000))*1,[1]OUT_TransportEnergyCons!D$4:D$10000))*1000</f>
        <v>1.1579462541344502E-3</v>
      </c>
      <c r="G1977" s="1" cm="1">
        <f t="array" ref="G1977">(SUMPRODUCT(("Var_Cap"=[1]OUT_TransportEnergyCons!$B$4:$B$10000)*1,ISNUMBER(SEARCH("T_b_c*bev*s3",[1]OUT_TransportEnergyCons!$A$4:$A$10000))*1,[1]OUT_TransportEnergyCons!E$4:E$10000))*1000</f>
        <v>1.920086191255582E-3</v>
      </c>
      <c r="H1977" s="1" cm="1">
        <f t="array" ref="H1977">(SUMPRODUCT(("Var_Cap"=[1]OUT_TransportEnergyCons!$B$4:$B$10000)*1,ISNUMBER(SEARCH("T_b_c*bev*s3",[1]OUT_TransportEnergyCons!$A$4:$A$10000))*1,[1]OUT_TransportEnergyCons!F$4:F$10000))*1000</f>
        <v>2.4495415938956583E-3</v>
      </c>
      <c r="I1977" s="1" cm="1">
        <f t="array" ref="I1977">(SUMPRODUCT(("Var_Cap"=[1]OUT_TransportEnergyCons!$B$4:$B$10000)*1,ISNUMBER(SEARCH("T_b_c*bev*s3",[1]OUT_TransportEnergyCons!$A$4:$A$10000))*1,[1]OUT_TransportEnergyCons!G$4:G$10000))*1000</f>
        <v>3.1402694267779509E-3</v>
      </c>
      <c r="J1977" s="1" cm="1">
        <f t="array" ref="J1977">(SUMPRODUCT(("Var_Cap"=[1]OUT_TransportEnergyCons!$B$4:$B$10000)*1,ISNUMBER(SEARCH("T_b_c*bev*s3",[1]OUT_TransportEnergyCons!$A$4:$A$10000))*1,[1]OUT_TransportEnergyCons!H$4:H$10000))*1000</f>
        <v>8.4072978187158705E-3</v>
      </c>
      <c r="K1977" s="1" cm="1">
        <f t="array" ref="K1977">(SUMPRODUCT(("Var_Cap"=[1]OUT_TransportEnergyCons!$B$4:$B$10000)*1,ISNUMBER(SEARCH("T_b_c*bev*s3",[1]OUT_TransportEnergyCons!$A$4:$A$10000))*1,[1]OUT_TransportEnergyCons!I$4:I$10000))*1000</f>
        <v>4.7134377662864102E-3</v>
      </c>
    </row>
    <row r="1978" spans="2:11" x14ac:dyDescent="0.35">
      <c r="B1978" s="5" t="str">
        <f t="shared" si="1250"/>
        <v>SPS4</v>
      </c>
      <c r="C1978" s="5" t="str">
        <f t="shared" si="1256"/>
        <v>CH</v>
      </c>
      <c r="D1978" t="s">
        <v>2013</v>
      </c>
      <c r="E1978" t="s">
        <v>2000</v>
      </c>
      <c r="F1978" s="1" cm="1">
        <f t="array" ref="F1978">(SUMPRODUCT(("Var_Cap"=[1]OUT_TransportEnergyCons!$B$4:$B$10000)*1,ISNUMBER(SEARCH("T_b_c*bev*s4",[1]OUT_TransportEnergyCons!$A$4:$A$10000))*1,[1]OUT_TransportEnergyCons!D$4:D$10000))*1000</f>
        <v>0</v>
      </c>
      <c r="G1978" s="1" cm="1">
        <f t="array" ref="G1978">(SUMPRODUCT(("Var_Cap"=[1]OUT_TransportEnergyCons!$B$4:$B$10000)*1,ISNUMBER(SEARCH("T_b_c*bev*s4",[1]OUT_TransportEnergyCons!$A$4:$A$10000))*1,[1]OUT_TransportEnergyCons!E$4:E$10000))*1000</f>
        <v>1.6464731275327399E-4</v>
      </c>
      <c r="H1978" s="1" cm="1">
        <f t="array" ref="H1978">(SUMPRODUCT(("Var_Cap"=[1]OUT_TransportEnergyCons!$B$4:$B$10000)*1,ISNUMBER(SEARCH("T_b_c*bev*s4",[1]OUT_TransportEnergyCons!$A$4:$A$10000))*1,[1]OUT_TransportEnergyCons!F$4:F$10000))*1000</f>
        <v>3.23654969193194E-4</v>
      </c>
      <c r="I1978" s="1" cm="1">
        <f t="array" ref="I1978">(SUMPRODUCT(("Var_Cap"=[1]OUT_TransportEnergyCons!$B$4:$B$10000)*1,ISNUMBER(SEARCH("T_b_c*bev*s4",[1]OUT_TransportEnergyCons!$A$4:$A$10000))*1,[1]OUT_TransportEnergyCons!G$4:G$10000))*1000</f>
        <v>3.2735319348579163E-4</v>
      </c>
      <c r="J1978" s="1" cm="1">
        <f t="array" ref="J1978">(SUMPRODUCT(("Var_Cap"=[1]OUT_TransportEnergyCons!$B$4:$B$10000)*1,ISNUMBER(SEARCH("T_b_c*bev*s4",[1]OUT_TransportEnergyCons!$A$4:$A$10000))*1,[1]OUT_TransportEnergyCons!H$4:H$10000))*1000</f>
        <v>5.0104028928262434E-4</v>
      </c>
      <c r="K1978" s="1" cm="1">
        <f t="array" ref="K1978">(SUMPRODUCT(("Var_Cap"=[1]OUT_TransportEnergyCons!$B$4:$B$10000)*1,ISNUMBER(SEARCH("T_b_c*bev*s4",[1]OUT_TransportEnergyCons!$A$4:$A$10000))*1,[1]OUT_TransportEnergyCons!I$4:I$10000))*1000</f>
        <v>1.9926374095031302E-4</v>
      </c>
    </row>
    <row r="1979" spans="2:11" x14ac:dyDescent="0.35">
      <c r="B1979" s="5" t="str">
        <f t="shared" si="1250"/>
        <v>SPS4</v>
      </c>
      <c r="C1979" s="5" t="str">
        <f t="shared" si="1256"/>
        <v>CH</v>
      </c>
      <c r="D1979" t="s">
        <v>2014</v>
      </c>
      <c r="E1979" t="s">
        <v>2000</v>
      </c>
      <c r="F1979" s="1" cm="1">
        <f t="array" ref="F1979">(SUMPRODUCT(("Var_Cap"=[1]OUT_TransportEnergyCons!$B$4:$B$10000)*1,ISNUMBER(SEARCH("T_b_c*h2o*s1",[1]OUT_TransportEnergyCons!$A$4:$A$10000))*1,[1]OUT_TransportEnergyCons!D$4:D$10000))*1000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(SUMPRODUCT(("Var_Cap"=[1]OUT_TransportEnergyCons!$B$4:$B$10000)*1,ISNUMBER(SEARCH("T_b_c*h2o*s1",[1]OUT_TransportEnergyCons!$A$4:$A$10000))*1,[1]OUT_TransportEnergyCons!E$4:E$10000))*1000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(SUMPRODUCT(("Var_Cap"=[1]OUT_TransportEnergyCons!$B$4:$B$10000)*1,ISNUMBER(SEARCH("T_b_c*h2o*s1",[1]OUT_TransportEnergyCons!$A$4:$A$10000))*1,[1]OUT_TransportEnergyCons!F$4:F$10000))*1000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(SUMPRODUCT(("Var_Cap"=[1]OUT_TransportEnergyCons!$B$4:$B$10000)*1,ISNUMBER(SEARCH("T_b_c*h2o*s1",[1]OUT_TransportEnergyCons!$A$4:$A$10000))*1,[1]OUT_TransportEnergyCons!G$4:G$10000))*1000</f>
        <v>2.5117555304292001E-5</v>
      </c>
      <c r="J1979" s="1" cm="1">
        <f t="array" ref="J1979">(SUMPRODUCT(("Var_Cap"=[1]OUT_TransportEnergyCons!$B$4:$B$10000)*1,ISNUMBER(SEARCH("T_b_c*h2o*s1",[1]OUT_TransportEnergyCons!$A$4:$A$10000))*1,[1]OUT_TransportEnergyCons!H$4:H$10000))*1000</f>
        <v>7.2772032257758988E-6</v>
      </c>
      <c r="K1979" s="1" cm="1">
        <f t="array" ref="K1979">(SUMPRODUCT(("Var_Cap"=[1]OUT_TransportEnergyCons!$B$4:$B$10000)*1,ISNUMBER(SEARCH("T_b_c*h2o*s1",[1]OUT_TransportEnergyCons!$A$4:$A$10000))*1,[1]OUT_TransportEnergyCons!I$4:I$10000))*1000</f>
        <v>2.6967086284077899E-6</v>
      </c>
    </row>
    <row r="1980" spans="2:11" x14ac:dyDescent="0.35">
      <c r="B1980" s="5" t="str">
        <f t="shared" si="1250"/>
        <v>SPS4</v>
      </c>
      <c r="C1980" s="5" t="str">
        <f t="shared" si="1256"/>
        <v>CH</v>
      </c>
      <c r="D1980" t="s">
        <v>2015</v>
      </c>
      <c r="E1980" t="s">
        <v>2000</v>
      </c>
      <c r="F1980" s="1" cm="1">
        <f t="array" ref="F1980">(SUMPRODUCT(("Var_Cap"=[1]OUT_TransportEnergyCons!$B$4:$B$10000)*1,ISNUMBER(SEARCH("T_b_c*h2o*s2",[1]OUT_TransportEnergyCons!$A$4:$A$10000))*1,[1]OUT_TransportEnergyCons!D$4:D$10000))*1000</f>
        <v>0</v>
      </c>
      <c r="G1980" s="1" cm="1">
        <f t="array" ref="G1980">(SUMPRODUCT(("Var_Cap"=[1]OUT_TransportEnergyCons!$B$4:$B$10000)*1,ISNUMBER(SEARCH("T_b_c*h2o*s2",[1]OUT_TransportEnergyCons!$A$4:$A$10000))*1,[1]OUT_TransportEnergyCons!E$4:E$10000))*1000</f>
        <v>0</v>
      </c>
      <c r="H1980" s="1" cm="1">
        <f t="array" ref="H1980">(SUMPRODUCT(("Var_Cap"=[1]OUT_TransportEnergyCons!$B$4:$B$10000)*1,ISNUMBER(SEARCH("T_b_c*h2o*s2",[1]OUT_TransportEnergyCons!$A$4:$A$10000))*1,[1]OUT_TransportEnergyCons!F$4:F$10000))*1000</f>
        <v>0</v>
      </c>
      <c r="I1980" s="1" cm="1">
        <f t="array" ref="I1980">(SUMPRODUCT(("Var_Cap"=[1]OUT_TransportEnergyCons!$B$4:$B$10000)*1,ISNUMBER(SEARCH("T_b_c*h2o*s2",[1]OUT_TransportEnergyCons!$A$4:$A$10000))*1,[1]OUT_TransportEnergyCons!G$4:G$10000))*1000</f>
        <v>2.7147711632061201E-5</v>
      </c>
      <c r="J1980" s="1" cm="1">
        <f t="array" ref="J1980">(SUMPRODUCT(("Var_Cap"=[1]OUT_TransportEnergyCons!$B$4:$B$10000)*1,ISNUMBER(SEARCH("T_b_c*h2o*s2",[1]OUT_TransportEnergyCons!$A$4:$A$10000))*1,[1]OUT_TransportEnergyCons!H$4:H$10000))*1000</f>
        <v>-5.8688027190953902E-6</v>
      </c>
      <c r="K1980" s="1" cm="1">
        <f t="array" ref="K1980">(SUMPRODUCT(("Var_Cap"=[1]OUT_TransportEnergyCons!$B$4:$B$10000)*1,ISNUMBER(SEARCH("T_b_c*h2o*s2",[1]OUT_TransportEnergyCons!$A$4:$A$10000))*1,[1]OUT_TransportEnergyCons!I$4:I$10000))*1000</f>
        <v>0</v>
      </c>
    </row>
    <row r="1981" spans="2:11" x14ac:dyDescent="0.35">
      <c r="B1981" s="5" t="str">
        <f t="shared" si="1250"/>
        <v>SPS4</v>
      </c>
      <c r="C1981" s="5" t="str">
        <f t="shared" si="1256"/>
        <v>CH</v>
      </c>
      <c r="D1981" t="s">
        <v>2016</v>
      </c>
      <c r="E1981" t="s">
        <v>2000</v>
      </c>
      <c r="F1981" s="1" cm="1">
        <f t="array" ref="F1981">(SUMPRODUCT(("Var_Cap"=[1]OUT_TransportEnergyCons!$B$4:$B$10000)*1,ISNUMBER(SEARCH("T_b_c*h2o*s3",[1]OUT_TransportEnergyCons!$A$4:$A$10000))*1,[1]OUT_TransportEnergyCons!D$4:D$10000))*1000</f>
        <v>0</v>
      </c>
      <c r="G1981" s="1" cm="1">
        <f t="array" ref="G1981">(SUMPRODUCT(("Var_Cap"=[1]OUT_TransportEnergyCons!$B$4:$B$10000)*1,ISNUMBER(SEARCH("T_b_c*h2o*s3",[1]OUT_TransportEnergyCons!$A$4:$A$10000))*1,[1]OUT_TransportEnergyCons!E$4:E$10000))*1000</f>
        <v>0</v>
      </c>
      <c r="H1981" s="1" cm="1">
        <f t="array" ref="H1981">(SUMPRODUCT(("Var_Cap"=[1]OUT_TransportEnergyCons!$B$4:$B$10000)*1,ISNUMBER(SEARCH("T_b_c*h2o*s3",[1]OUT_TransportEnergyCons!$A$4:$A$10000))*1,[1]OUT_TransportEnergyCons!F$4:F$10000))*1000</f>
        <v>0</v>
      </c>
      <c r="I1981" s="1" cm="1">
        <f t="array" ref="I1981">(SUMPRODUCT(("Var_Cap"=[1]OUT_TransportEnergyCons!$B$4:$B$10000)*1,ISNUMBER(SEARCH("T_b_c*h2o*s3",[1]OUT_TransportEnergyCons!$A$4:$A$10000))*1,[1]OUT_TransportEnergyCons!G$4:G$10000))*1000</f>
        <v>2.7469428018665799E-5</v>
      </c>
      <c r="J1981" s="1" cm="1">
        <f t="array" ref="J1981">(SUMPRODUCT(("Var_Cap"=[1]OUT_TransportEnergyCons!$B$4:$B$10000)*1,ISNUMBER(SEARCH("T_b_c*h2o*s3",[1]OUT_TransportEnergyCons!$A$4:$A$10000))*1,[1]OUT_TransportEnergyCons!H$4:H$10000))*1000</f>
        <v>2.4078734174338801E-5</v>
      </c>
      <c r="K1981" s="1" cm="1">
        <f t="array" ref="K1981">(SUMPRODUCT(("Var_Cap"=[1]OUT_TransportEnergyCons!$B$4:$B$10000)*1,ISNUMBER(SEARCH("T_b_c*h2o*s3",[1]OUT_TransportEnergyCons!$A$4:$A$10000))*1,[1]OUT_TransportEnergyCons!I$4:I$10000))*1000</f>
        <v>4.38624695713682E-6</v>
      </c>
    </row>
    <row r="1982" spans="2:11" x14ac:dyDescent="0.35">
      <c r="B1982" s="5" t="str">
        <f t="shared" si="1250"/>
        <v>SPS4</v>
      </c>
      <c r="C1982" s="5" t="str">
        <f t="shared" si="1256"/>
        <v>CH</v>
      </c>
      <c r="D1982" t="s">
        <v>2017</v>
      </c>
      <c r="E1982" t="s">
        <v>2000</v>
      </c>
      <c r="F1982" s="1" cm="1">
        <f t="array" ref="F1982">(SUMPRODUCT(("Var_Cap"=[1]OUT_TransportEnergyCons!$B$4:$B$10000)*1,ISNUMBER(SEARCH("T_b_c*h2o*s4",[1]OUT_TransportEnergyCons!$A$4:$A$10000))*1,[1]OUT_TransportEnergyCons!D$4:D$10000))*1000</f>
        <v>0</v>
      </c>
      <c r="G1982" s="1" cm="1">
        <f t="array" ref="G1982">(SUMPRODUCT(("Var_Cap"=[1]OUT_TransportEnergyCons!$B$4:$B$10000)*1,ISNUMBER(SEARCH("T_b_c*h2o*s4",[1]OUT_TransportEnergyCons!$A$4:$A$10000))*1,[1]OUT_TransportEnergyCons!E$4:E$10000))*1000</f>
        <v>0</v>
      </c>
      <c r="H1982" s="1" cm="1">
        <f t="array" ref="H1982">(SUMPRODUCT(("Var_Cap"=[1]OUT_TransportEnergyCons!$B$4:$B$10000)*1,ISNUMBER(SEARCH("T_b_c*h2o*s4",[1]OUT_TransportEnergyCons!$A$4:$A$10000))*1,[1]OUT_TransportEnergyCons!F$4:F$10000))*1000</f>
        <v>0</v>
      </c>
      <c r="I1982" s="1" cm="1">
        <f t="array" ref="I1982">(SUMPRODUCT(("Var_Cap"=[1]OUT_TransportEnergyCons!$B$4:$B$10000)*1,ISNUMBER(SEARCH("T_b_c*h2o*s4",[1]OUT_TransportEnergyCons!$A$4:$A$10000))*1,[1]OUT_TransportEnergyCons!G$4:G$10000))*1000</f>
        <v>0</v>
      </c>
      <c r="J1982" s="1" cm="1">
        <f t="array" ref="J1982">(SUMPRODUCT(("Var_Cap"=[1]OUT_TransportEnergyCons!$B$4:$B$10000)*1,ISNUMBER(SEARCH("T_b_c*h2o*s4",[1]OUT_TransportEnergyCons!$A$4:$A$10000))*1,[1]OUT_TransportEnergyCons!H$4:H$10000))*1000</f>
        <v>0</v>
      </c>
      <c r="K1982" s="1" cm="1">
        <f t="array" ref="K1982">(SUMPRODUCT(("Var_Cap"=[1]OUT_TransportEnergyCons!$B$4:$B$10000)*1,ISNUMBER(SEARCH("T_b_c*h2o*s4",[1]OUT_TransportEnergyCons!$A$4:$A$10000))*1,[1]OUT_TransportEnergyCons!I$4:I$10000))*1000</f>
        <v>0</v>
      </c>
    </row>
    <row r="1983" spans="2:11" x14ac:dyDescent="0.35">
      <c r="B1983" s="5" t="str">
        <f t="shared" si="1250"/>
        <v>SPS4</v>
      </c>
      <c r="C1983" s="5" t="str">
        <f t="shared" si="1256"/>
        <v>CH</v>
      </c>
      <c r="D1983" t="s">
        <v>2018</v>
      </c>
      <c r="E1983" t="s">
        <v>2000</v>
      </c>
      <c r="F1983" s="1" cm="1">
        <f t="array" ref="F1983">(SUMPRODUCT(("Var_Cap"=[1]OUT_TransportEnergyCons!$B$4:$B$10000)*1,ISNUMBER(SEARCH("T_b_c*hyb*DSL*s1",[1]OUT_TransportEnergyCons!$A$4:$A$10000))*1,[1]OUT_TransportEnergyCons!D$4:D$10000))*1000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(SUMPRODUCT(("Var_Cap"=[1]OUT_TransportEnergyCons!$B$4:$B$10000)*1,ISNUMBER(SEARCH("T_b_c*hyb*DSL*s1",[1]OUT_TransportEnergyCons!$A$4:$A$10000))*1,[1]OUT_TransportEnergyCons!E$4:E$10000))*1000</f>
        <v>5.0138656197626693E-3</v>
      </c>
      <c r="H1983" s="1" cm="1">
        <f t="array" ref="H1983">(SUMPRODUCT(("Var_Cap"=[1]OUT_TransportEnergyCons!$B$4:$B$10000)*1,ISNUMBER(SEARCH("T_b_c*hyb*DSL*s1",[1]OUT_TransportEnergyCons!$A$4:$A$10000))*1,[1]OUT_TransportEnergyCons!F$4:F$10000))*1000</f>
        <v>6.7658721687586434E-3</v>
      </c>
      <c r="I1983" s="1" cm="1">
        <f t="array" ref="I1983">(SUMPRODUCT(("Var_Cap"=[1]OUT_TransportEnergyCons!$B$4:$B$10000)*1,ISNUMBER(SEARCH("T_b_c*hyb*DSL*s1",[1]OUT_TransportEnergyCons!$A$4:$A$10000))*1,[1]OUT_TransportEnergyCons!G$4:G$10000))*1000</f>
        <v>4.3945729716407299E-3</v>
      </c>
      <c r="J1983" s="1" cm="1">
        <f t="array" ref="J1983">(SUMPRODUCT(("Var_Cap"=[1]OUT_TransportEnergyCons!$B$4:$B$10000)*1,ISNUMBER(SEARCH("T_b_c*hyb*DSL*s1",[1]OUT_TransportEnergyCons!$A$4:$A$10000))*1,[1]OUT_TransportEnergyCons!H$4:H$10000))*1000</f>
        <v>2.2950605978230641E-2</v>
      </c>
      <c r="K1983" s="1" cm="1">
        <f t="array" ref="K1983">(SUMPRODUCT(("Var_Cap"=[1]OUT_TransportEnergyCons!$B$4:$B$10000)*1,ISNUMBER(SEARCH("T_b_c*hyb*DSL*s1",[1]OUT_TransportEnergyCons!$A$4:$A$10000))*1,[1]OUT_TransportEnergyCons!I$4:I$10000))*1000</f>
        <v>1.029992077934542E-2</v>
      </c>
    </row>
    <row r="1984" spans="2:11" x14ac:dyDescent="0.35">
      <c r="B1984" s="5" t="str">
        <f t="shared" si="1250"/>
        <v>SPS4</v>
      </c>
      <c r="C1984" s="5" t="str">
        <f t="shared" si="1256"/>
        <v>CH</v>
      </c>
      <c r="D1984" t="s">
        <v>2019</v>
      </c>
      <c r="E1984" t="s">
        <v>2000</v>
      </c>
      <c r="F1984" s="1" cm="1">
        <f t="array" ref="F1984">(SUMPRODUCT(("Var_Cap"=[1]OUT_TransportEnergyCons!$B$4:$B$10000)*1,ISNUMBER(SEARCH("T_b_c*hyb*DSL*s2",[1]OUT_TransportEnergyCons!$A$4:$A$10000))*1,[1]OUT_TransportEnergyCons!D$4:D$10000))*1000</f>
        <v>0</v>
      </c>
      <c r="G1984" s="1" cm="1">
        <f t="array" ref="G1984">(SUMPRODUCT(("Var_Cap"=[1]OUT_TransportEnergyCons!$B$4:$B$10000)*1,ISNUMBER(SEARCH("T_b_c*hyb*DSL*s2",[1]OUT_TransportEnergyCons!$A$4:$A$10000))*1,[1]OUT_TransportEnergyCons!E$4:E$10000))*1000</f>
        <v>9.8797180481737098E-4</v>
      </c>
      <c r="H1984" s="1" cm="1">
        <f t="array" ref="H1984">(SUMPRODUCT(("Var_Cap"=[1]OUT_TransportEnergyCons!$B$4:$B$10000)*1,ISNUMBER(SEARCH("T_b_c*hyb*DSL*s2",[1]OUT_TransportEnergyCons!$A$4:$A$10000))*1,[1]OUT_TransportEnergyCons!F$4:F$10000))*1000</f>
        <v>0.122856273501667</v>
      </c>
      <c r="I1984" s="1" cm="1">
        <f t="array" ref="I1984">(SUMPRODUCT(("Var_Cap"=[1]OUT_TransportEnergyCons!$B$4:$B$10000)*1,ISNUMBER(SEARCH("T_b_c*hyb*DSL*s2",[1]OUT_TransportEnergyCons!$A$4:$A$10000))*1,[1]OUT_TransportEnergyCons!G$4:G$10000))*1000</f>
        <v>0.75649190631529506</v>
      </c>
      <c r="J1984" s="1" cm="1">
        <f t="array" ref="J1984">(SUMPRODUCT(("Var_Cap"=[1]OUT_TransportEnergyCons!$B$4:$B$10000)*1,ISNUMBER(SEARCH("T_b_c*hyb*DSL*s2",[1]OUT_TransportEnergyCons!$A$4:$A$10000))*1,[1]OUT_TransportEnergyCons!H$4:H$10000))*1000</f>
        <v>0.74414424281550873</v>
      </c>
      <c r="K1984" s="1" cm="1">
        <f t="array" ref="K1984">(SUMPRODUCT(("Var_Cap"=[1]OUT_TransportEnergyCons!$B$4:$B$10000)*1,ISNUMBER(SEARCH("T_b_c*hyb*DSL*s2",[1]OUT_TransportEnergyCons!$A$4:$A$10000))*1,[1]OUT_TransportEnergyCons!I$4:I$10000))*1000</f>
        <v>0.73071351461553002</v>
      </c>
    </row>
    <row r="1985" spans="2:11" x14ac:dyDescent="0.35">
      <c r="B1985" s="5" t="str">
        <f t="shared" si="1250"/>
        <v>SPS4</v>
      </c>
      <c r="C1985" s="5" t="str">
        <f t="shared" si="1256"/>
        <v>CH</v>
      </c>
      <c r="D1985" t="s">
        <v>2020</v>
      </c>
      <c r="E1985" t="s">
        <v>2000</v>
      </c>
      <c r="F1985" s="1" cm="1">
        <f t="array" ref="F1985">(SUMPRODUCT(("Var_Cap"=[1]OUT_TransportEnergyCons!$B$4:$B$10000)*1,ISNUMBER(SEARCH("T_b_c*hyb*DSL*s3",[1]OUT_TransportEnergyCons!$A$4:$A$10000))*1,[1]OUT_TransportEnergyCons!D$4:D$10000))*1000</f>
        <v>0</v>
      </c>
      <c r="G1985" s="1" cm="1">
        <f t="array" ref="G1985">(SUMPRODUCT(("Var_Cap"=[1]OUT_TransportEnergyCons!$B$4:$B$10000)*1,ISNUMBER(SEARCH("T_b_c*hyb*DSL*s3",[1]OUT_TransportEnergyCons!$A$4:$A$10000))*1,[1]OUT_TransportEnergyCons!E$4:E$10000))*1000</f>
        <v>4.1367476506027002E-4</v>
      </c>
      <c r="H1985" s="1" cm="1">
        <f t="array" ref="H1985">(SUMPRODUCT(("Var_Cap"=[1]OUT_TransportEnergyCons!$B$4:$B$10000)*1,ISNUMBER(SEARCH("T_b_c*hyb*DSL*s3",[1]OUT_TransportEnergyCons!$A$4:$A$10000))*1,[1]OUT_TransportEnergyCons!F$4:F$10000))*1000</f>
        <v>5.7437424986384895E-3</v>
      </c>
      <c r="I1985" s="1" cm="1">
        <f t="array" ref="I1985">(SUMPRODUCT(("Var_Cap"=[1]OUT_TransportEnergyCons!$B$4:$B$10000)*1,ISNUMBER(SEARCH("T_b_c*hyb*DSL*s3",[1]OUT_TransportEnergyCons!$A$4:$A$10000))*1,[1]OUT_TransportEnergyCons!G$4:G$10000))*1000</f>
        <v>0.26370098696926397</v>
      </c>
      <c r="J1985" s="1" cm="1">
        <f t="array" ref="J1985">(SUMPRODUCT(("Var_Cap"=[1]OUT_TransportEnergyCons!$B$4:$B$10000)*1,ISNUMBER(SEARCH("T_b_c*hyb*DSL*s3",[1]OUT_TransportEnergyCons!$A$4:$A$10000))*1,[1]OUT_TransportEnergyCons!H$4:H$10000))*1000</f>
        <v>0.259092763034937</v>
      </c>
      <c r="K1985" s="1" cm="1">
        <f t="array" ref="K1985">(SUMPRODUCT(("Var_Cap"=[1]OUT_TransportEnergyCons!$B$4:$B$10000)*1,ISNUMBER(SEARCH("T_b_c*hyb*DSL*s3",[1]OUT_TransportEnergyCons!$A$4:$A$10000))*1,[1]OUT_TransportEnergyCons!I$4:I$10000))*1000</f>
        <v>0.25567269372236501</v>
      </c>
    </row>
    <row r="1986" spans="2:11" x14ac:dyDescent="0.35">
      <c r="B1986" s="5" t="str">
        <f t="shared" si="1250"/>
        <v>SPS4</v>
      </c>
      <c r="C1986" s="5" t="str">
        <f t="shared" si="1256"/>
        <v>CH</v>
      </c>
      <c r="D1986" t="s">
        <v>2021</v>
      </c>
      <c r="E1986" t="s">
        <v>2000</v>
      </c>
      <c r="F1986" s="1" cm="1">
        <f t="array" ref="F1986">(SUMPRODUCT(("Var_Cap"=[1]OUT_TransportEnergyCons!$B$4:$B$10000)*1,ISNUMBER(SEARCH("T_b_c*hyb*DSL*s4",[1]OUT_TransportEnergyCons!$A$4:$A$10000))*1,[1]OUT_TransportEnergyCons!D$4:D$10000))*1000</f>
        <v>0</v>
      </c>
      <c r="G1986" s="1" cm="1">
        <f t="array" ref="G1986">(SUMPRODUCT(("Var_Cap"=[1]OUT_TransportEnergyCons!$B$4:$B$10000)*1,ISNUMBER(SEARCH("T_b_c*hyb*DSL*s4",[1]OUT_TransportEnergyCons!$A$4:$A$10000))*1,[1]OUT_TransportEnergyCons!E$4:E$10000))*1000</f>
        <v>4.0746317247256303E-5</v>
      </c>
      <c r="H1986" s="1" cm="1">
        <f t="array" ref="H1986">(SUMPRODUCT(("Var_Cap"=[1]OUT_TransportEnergyCons!$B$4:$B$10000)*1,ISNUMBER(SEARCH("T_b_c*hyb*DSL*s4",[1]OUT_TransportEnergyCons!$A$4:$A$10000))*1,[1]OUT_TransportEnergyCons!F$4:F$10000))*1000</f>
        <v>7.7138352514987801E-5</v>
      </c>
      <c r="I1986" s="1" cm="1">
        <f t="array" ref="I1986">(SUMPRODUCT(("Var_Cap"=[1]OUT_TransportEnergyCons!$B$4:$B$10000)*1,ISNUMBER(SEARCH("T_b_c*hyb*DSL*s4",[1]OUT_TransportEnergyCons!$A$4:$A$10000))*1,[1]OUT_TransportEnergyCons!G$4:G$10000))*1000</f>
        <v>7.0047474818257793E-5</v>
      </c>
      <c r="J1986" s="1" cm="1">
        <f t="array" ref="J1986">(SUMPRODUCT(("Var_Cap"=[1]OUT_TransportEnergyCons!$B$4:$B$10000)*1,ISNUMBER(SEARCH("T_b_c*hyb*DSL*s4",[1]OUT_TransportEnergyCons!$A$4:$A$10000))*1,[1]OUT_TransportEnergyCons!H$4:H$10000))*1000</f>
        <v>9.2806038710784204E-5</v>
      </c>
      <c r="K1986" s="1" cm="1">
        <f t="array" ref="K1986">(SUMPRODUCT(("Var_Cap"=[1]OUT_TransportEnergyCons!$B$4:$B$10000)*1,ISNUMBER(SEARCH("T_b_c*hyb*DSL*s4",[1]OUT_TransportEnergyCons!$A$4:$A$10000))*1,[1]OUT_TransportEnergyCons!I$4:I$10000))*1000</f>
        <v>2.7566089983422999E-5</v>
      </c>
    </row>
    <row r="1987" spans="2:11" x14ac:dyDescent="0.35">
      <c r="B1987" s="5" t="str">
        <f t="shared" si="1250"/>
        <v>SPS4</v>
      </c>
      <c r="C1987" s="5" t="str">
        <f t="shared" si="1256"/>
        <v>CH</v>
      </c>
      <c r="D1987" t="s">
        <v>2022</v>
      </c>
      <c r="E1987" t="s">
        <v>2000</v>
      </c>
      <c r="F1987" s="1" cm="1">
        <f t="array" ref="F1987">(SUMPRODUCT(("Var_Cap"=[1]OUT_TransportEnergyCons!$B$4:$B$10000)*1,ISNUMBER(SEARCH("T_b_c*ICE*DSL*ext",[1]OUT_TransportEnergyCons!$A$4:$A$10000))*1,[1]OUT_TransportEnergyCons!D$4:D$10000))*1000</f>
        <v>1.3033204752126699</v>
      </c>
      <c r="G1987" s="1" cm="1">
        <f t="array" ref="G1987">(SUMPRODUCT(("Var_Cap"=[1]OUT_TransportEnergyCons!$B$4:$B$10000)*1,ISNUMBER(SEARCH("T_b_c*ICE*DSL*ext",[1]OUT_TransportEnergyCons!$A$4:$A$10000))*1,[1]OUT_TransportEnergyCons!E$4:E$10000))*1000</f>
        <v>1.0426563801701401</v>
      </c>
      <c r="H1987" s="1" cm="1">
        <f t="array" ref="H1987">(SUMPRODUCT(("Var_Cap"=[1]OUT_TransportEnergyCons!$B$4:$B$10000)*1,ISNUMBER(SEARCH("T_b_c*ICE*DSL*ext",[1]OUT_TransportEnergyCons!$A$4:$A$10000))*1,[1]OUT_TransportEnergyCons!F$4:F$10000))*1000</f>
        <v>0.65166023760633496</v>
      </c>
      <c r="I1987" s="1" cm="1">
        <f t="array" ref="I1987">(SUMPRODUCT(("Var_Cap"=[1]OUT_TransportEnergyCons!$B$4:$B$10000)*1,ISNUMBER(SEARCH("T_b_c*ICE*DSL*ext",[1]OUT_TransportEnergyCons!$A$4:$A$10000))*1,[1]OUT_TransportEnergyCons!G$4:G$10000))*1000</f>
        <v>0</v>
      </c>
      <c r="J1987" s="1" cm="1">
        <f t="array" ref="J1987">(SUMPRODUCT(("Var_Cap"=[1]OUT_TransportEnergyCons!$B$4:$B$10000)*1,ISNUMBER(SEARCH("T_b_c*ICE*DSL*ext",[1]OUT_TransportEnergyCons!$A$4:$A$10000))*1,[1]OUT_TransportEnergyCons!H$4:H$10000))*1000</f>
        <v>0</v>
      </c>
      <c r="K1987" s="1" cm="1">
        <f t="array" ref="K1987">(SUMPRODUCT(("Var_Cap"=[1]OUT_TransportEnergyCons!$B$4:$B$10000)*1,ISNUMBER(SEARCH("T_b_c*ICE*DSL*ext",[1]OUT_TransportEnergyCons!$A$4:$A$10000))*1,[1]OUT_TransportEnergyCons!I$4:I$10000))*1000</f>
        <v>0</v>
      </c>
    </row>
    <row r="1988" spans="2:11" x14ac:dyDescent="0.35">
      <c r="B1988" s="5" t="str">
        <f t="shared" si="1250"/>
        <v>SPS4</v>
      </c>
      <c r="C1988" s="5" t="str">
        <f t="shared" si="1256"/>
        <v>CH</v>
      </c>
      <c r="D1988" t="s">
        <v>2023</v>
      </c>
      <c r="E1988" t="s">
        <v>2000</v>
      </c>
      <c r="F1988" s="1" cm="1">
        <f t="array" ref="F1988">(SUMPRODUCT(("Var_Cap"=[1]OUT_TransportEnergyCons!$B$4:$B$10000)*1,ISNUMBER(SEARCH("T_b_c*ICE*DSL*s1",[1]OUT_TransportEnergyCons!$A$4:$A$10000))*1,[1]OUT_TransportEnergyCons!D$4:D$10000))*1000</f>
        <v>0.30580528846153798</v>
      </c>
      <c r="G1988" s="1" cm="1">
        <f t="array" ref="G1988">(SUMPRODUCT(("Var_Cap"=[1]OUT_TransportEnergyCons!$B$4:$B$10000)*1,ISNUMBER(SEARCH("T_b_c*ICE*DSL*s1",[1]OUT_TransportEnergyCons!$A$4:$A$10000))*1,[1]OUT_TransportEnergyCons!E$4:E$10000))*1000</f>
        <v>0.85573367652970689</v>
      </c>
      <c r="H1988" s="1" cm="1">
        <f t="array" ref="H1988">(SUMPRODUCT(("Var_Cap"=[1]OUT_TransportEnergyCons!$B$4:$B$10000)*1,ISNUMBER(SEARCH("T_b_c*ICE*DSL*s1",[1]OUT_TransportEnergyCons!$A$4:$A$10000))*1,[1]OUT_TransportEnergyCons!F$4:F$10000))*1000</f>
        <v>1.0534778049881974</v>
      </c>
      <c r="I1988" s="1" cm="1">
        <f t="array" ref="I1988">(SUMPRODUCT(("Var_Cap"=[1]OUT_TransportEnergyCons!$B$4:$B$10000)*1,ISNUMBER(SEARCH("T_b_c*ICE*DSL*s1",[1]OUT_TransportEnergyCons!$A$4:$A$10000))*1,[1]OUT_TransportEnergyCons!G$4:G$10000))*1000</f>
        <v>-1.0253264171944734E-5</v>
      </c>
      <c r="J1988" s="1" cm="1">
        <f t="array" ref="J1988">(SUMPRODUCT(("Var_Cap"=[1]OUT_TransportEnergyCons!$B$4:$B$10000)*1,ISNUMBER(SEARCH("T_b_c*ICE*DSL*s1",[1]OUT_TransportEnergyCons!$A$4:$A$10000))*1,[1]OUT_TransportEnergyCons!H$4:H$10000))*1000</f>
        <v>0</v>
      </c>
      <c r="K1988" s="1" cm="1">
        <f t="array" ref="K1988">(SUMPRODUCT(("Var_Cap"=[1]OUT_TransportEnergyCons!$B$4:$B$10000)*1,ISNUMBER(SEARCH("T_b_c*ICE*DSL*s1",[1]OUT_TransportEnergyCons!$A$4:$A$10000))*1,[1]OUT_TransportEnergyCons!I$4:I$10000))*1000</f>
        <v>0</v>
      </c>
    </row>
    <row r="1989" spans="2:11" x14ac:dyDescent="0.35">
      <c r="B1989" s="5" t="str">
        <f t="shared" si="1250"/>
        <v>SPS4</v>
      </c>
      <c r="C1989" s="5" t="str">
        <f t="shared" si="1256"/>
        <v>CH</v>
      </c>
      <c r="D1989" t="s">
        <v>2024</v>
      </c>
      <c r="E1989" t="s">
        <v>2000</v>
      </c>
      <c r="F1989" s="1" cm="1">
        <f t="array" ref="F1989">(SUMPRODUCT(("Var_Cap"=[1]OUT_TransportEnergyCons!$B$4:$B$10000)*1,ISNUMBER(SEARCH("T_b_c*ICE*DSL*s2",[1]OUT_TransportEnergyCons!$A$4:$A$10000))*1,[1]OUT_TransportEnergyCons!D$4:D$10000))*1000</f>
        <v>0.98784375000000002</v>
      </c>
      <c r="G1989" s="1" cm="1">
        <f t="array" ref="G1989">(SUMPRODUCT(("Var_Cap"=[1]OUT_TransportEnergyCons!$B$4:$B$10000)*1,ISNUMBER(SEARCH("T_b_c*ICE*DSL*s2",[1]OUT_TransportEnergyCons!$A$4:$A$10000))*1,[1]OUT_TransportEnergyCons!E$4:E$10000))*1000</f>
        <v>0.81660365770160681</v>
      </c>
      <c r="H1989" s="1" cm="1">
        <f t="array" ref="H1989">(SUMPRODUCT(("Var_Cap"=[1]OUT_TransportEnergyCons!$B$4:$B$10000)*1,ISNUMBER(SEARCH("T_b_c*ICE*DSL*s2",[1]OUT_TransportEnergyCons!$A$4:$A$10000))*1,[1]OUT_TransportEnergyCons!F$4:F$10000))*1000</f>
        <v>0.81768653925362333</v>
      </c>
      <c r="I1989" s="1" cm="1">
        <f t="array" ref="I1989">(SUMPRODUCT(("Var_Cap"=[1]OUT_TransportEnergyCons!$B$4:$B$10000)*1,ISNUMBER(SEARCH("T_b_c*ICE*DSL*s2",[1]OUT_TransportEnergyCons!$A$4:$A$10000))*1,[1]OUT_TransportEnergyCons!G$4:G$10000))*1000</f>
        <v>-9.8825384749505127E-6</v>
      </c>
      <c r="J1989" s="1" cm="1">
        <f t="array" ref="J1989">(SUMPRODUCT(("Var_Cap"=[1]OUT_TransportEnergyCons!$B$4:$B$10000)*1,ISNUMBER(SEARCH("T_b_c*ICE*DSL*s2",[1]OUT_TransportEnergyCons!$A$4:$A$10000))*1,[1]OUT_TransportEnergyCons!H$4:H$10000))*1000</f>
        <v>0</v>
      </c>
      <c r="K1989" s="1" cm="1">
        <f t="array" ref="K1989">(SUMPRODUCT(("Var_Cap"=[1]OUT_TransportEnergyCons!$B$4:$B$10000)*1,ISNUMBER(SEARCH("T_b_c*ICE*DSL*s2",[1]OUT_TransportEnergyCons!$A$4:$A$10000))*1,[1]OUT_TransportEnergyCons!I$4:I$10000))*1000</f>
        <v>0</v>
      </c>
    </row>
    <row r="1990" spans="2:11" x14ac:dyDescent="0.35">
      <c r="B1990" s="5" t="str">
        <f t="shared" si="1250"/>
        <v>SPS4</v>
      </c>
      <c r="C1990" s="5" t="str">
        <f t="shared" si="1256"/>
        <v>CH</v>
      </c>
      <c r="D1990" t="s">
        <v>2025</v>
      </c>
      <c r="E1990" t="s">
        <v>2000</v>
      </c>
      <c r="F1990" s="1" cm="1">
        <f t="array" ref="F1990">(SUMPRODUCT(("Var_Cap"=[1]OUT_TransportEnergyCons!$B$4:$B$10000)*1,ISNUMBER(SEARCH("T_b_c*ICE*DSL*s3",[1]OUT_TransportEnergyCons!$A$4:$A$10000))*1,[1]OUT_TransportEnergyCons!D$4:D$10000))*1000</f>
        <v>0.20109909969591178</v>
      </c>
      <c r="G1990" s="1" cm="1">
        <f t="array" ref="G1990">(SUMPRODUCT(("Var_Cap"=[1]OUT_TransportEnergyCons!$B$4:$B$10000)*1,ISNUMBER(SEARCH("T_b_c*ICE*DSL*s3",[1]OUT_TransportEnergyCons!$A$4:$A$10000))*1,[1]OUT_TransportEnergyCons!E$4:E$10000))*1000</f>
        <v>0.19363211143824091</v>
      </c>
      <c r="H1990" s="1" cm="1">
        <f t="array" ref="H1990">(SUMPRODUCT(("Var_Cap"=[1]OUT_TransportEnergyCons!$B$4:$B$10000)*1,ISNUMBER(SEARCH("T_b_c*ICE*DSL*s3",[1]OUT_TransportEnergyCons!$A$4:$A$10000))*1,[1]OUT_TransportEnergyCons!F$4:F$10000))*1000</f>
        <v>0.19407567281418414</v>
      </c>
      <c r="I1990" s="1" cm="1">
        <f t="array" ref="I1990">(SUMPRODUCT(("Var_Cap"=[1]OUT_TransportEnergyCons!$B$4:$B$10000)*1,ISNUMBER(SEARCH("T_b_c*ICE*DSL*s3",[1]OUT_TransportEnergyCons!$A$4:$A$10000))*1,[1]OUT_TransportEnergyCons!G$4:G$10000))*1000</f>
        <v>-8.7788051184896484E-6</v>
      </c>
      <c r="J1990" s="1" cm="1">
        <f t="array" ref="J1990">(SUMPRODUCT(("Var_Cap"=[1]OUT_TransportEnergyCons!$B$4:$B$10000)*1,ISNUMBER(SEARCH("T_b_c*ICE*DSL*s3",[1]OUT_TransportEnergyCons!$A$4:$A$10000))*1,[1]OUT_TransportEnergyCons!H$4:H$10000))*1000</f>
        <v>0</v>
      </c>
      <c r="K1990" s="1" cm="1">
        <f t="array" ref="K1990">(SUMPRODUCT(("Var_Cap"=[1]OUT_TransportEnergyCons!$B$4:$B$10000)*1,ISNUMBER(SEARCH("T_b_c*ICE*DSL*s3",[1]OUT_TransportEnergyCons!$A$4:$A$10000))*1,[1]OUT_TransportEnergyCons!I$4:I$10000))*1000</f>
        <v>0</v>
      </c>
    </row>
    <row r="1991" spans="2:11" x14ac:dyDescent="0.35">
      <c r="B1991" s="5" t="str">
        <f t="shared" si="1250"/>
        <v>SPS4</v>
      </c>
      <c r="C1991" s="5" t="str">
        <f t="shared" si="1256"/>
        <v>CH</v>
      </c>
      <c r="D1991" t="s">
        <v>2026</v>
      </c>
      <c r="E1991" t="s">
        <v>2000</v>
      </c>
      <c r="F1991" s="1" cm="1">
        <f t="array" ref="F1991">(SUMPRODUCT(("Var_Cap"=[1]OUT_TransportEnergyCons!$B$4:$B$10000)*1,ISNUMBER(SEARCH("T_b_c*ICE*DSL*s4",[1]OUT_TransportEnergyCons!$A$4:$A$10000))*1,[1]OUT_TransportEnergyCons!D$4:D$10000))*1000</f>
        <v>1.1787991091735303E-2</v>
      </c>
      <c r="G1991" s="1" cm="1">
        <f t="array" ref="G1991">(SUMPRODUCT(("Var_Cap"=[1]OUT_TransportEnergyCons!$B$4:$B$10000)*1,ISNUMBER(SEARCH("T_b_c*ICE*DSL*s4",[1]OUT_TransportEnergyCons!$A$4:$A$10000))*1,[1]OUT_TransportEnergyCons!E$4:E$10000))*1000</f>
        <v>2.2992052809494651E-4</v>
      </c>
      <c r="H1991" s="1" cm="1">
        <f t="array" ref="H1991">(SUMPRODUCT(("Var_Cap"=[1]OUT_TransportEnergyCons!$B$4:$B$10000)*1,ISNUMBER(SEARCH("T_b_c*ICE*DSL*s4",[1]OUT_TransportEnergyCons!$A$4:$A$10000))*1,[1]OUT_TransportEnergyCons!F$4:F$10000))*1000</f>
        <v>3.2141420114302168E-4</v>
      </c>
      <c r="I1991" s="1" cm="1">
        <f t="array" ref="I1991">(SUMPRODUCT(("Var_Cap"=[1]OUT_TransportEnergyCons!$B$4:$B$10000)*1,ISNUMBER(SEARCH("T_b_c*ICE*DSL*s4",[1]OUT_TransportEnergyCons!$A$4:$A$10000))*1,[1]OUT_TransportEnergyCons!G$4:G$10000))*1000</f>
        <v>-1.1796937378395286E-5</v>
      </c>
      <c r="J1991" s="1" cm="1">
        <f t="array" ref="J1991">(SUMPRODUCT(("Var_Cap"=[1]OUT_TransportEnergyCons!$B$4:$B$10000)*1,ISNUMBER(SEARCH("T_b_c*ICE*DSL*s4",[1]OUT_TransportEnergyCons!$A$4:$A$10000))*1,[1]OUT_TransportEnergyCons!H$4:H$10000))*1000</f>
        <v>0</v>
      </c>
      <c r="K1991" s="1" cm="1">
        <f t="array" ref="K1991">(SUMPRODUCT(("Var_Cap"=[1]OUT_TransportEnergyCons!$B$4:$B$10000)*1,ISNUMBER(SEARCH("T_b_c*ICE*DSL*s4",[1]OUT_TransportEnergyCons!$A$4:$A$10000))*1,[1]OUT_TransportEnergyCons!I$4:I$10000))*1000</f>
        <v>0</v>
      </c>
    </row>
    <row r="1992" spans="2:11" x14ac:dyDescent="0.35">
      <c r="B1992" s="5" t="str">
        <f t="shared" si="1250"/>
        <v>SPS4</v>
      </c>
      <c r="C1992" s="5" t="str">
        <f t="shared" si="1256"/>
        <v>CH</v>
      </c>
      <c r="D1992" t="s">
        <v>2027</v>
      </c>
      <c r="E1992" t="s">
        <v>2000</v>
      </c>
      <c r="F1992" s="1" cm="1">
        <f t="array" ref="F1992">(SUMPRODUCT(("Var_Cap"=[1]OUT_TransportEnergyCons!$B$4:$B$10000)*1,ISNUMBER(SEARCH("T_b_c*ICE*nga*ext",[1]OUT_TransportEnergyCons!$A$4:$A$10000))*1,[1]OUT_TransportEnergyCons!D$4:D$10000))*1000</f>
        <v>2.97227926078029E-2</v>
      </c>
      <c r="G1992" s="1" cm="1">
        <f t="array" ref="G1992">(SUMPRODUCT(("Var_Cap"=[1]OUT_TransportEnergyCons!$B$4:$B$10000)*1,ISNUMBER(SEARCH("T_b_c*ICE*nga*ext",[1]OUT_TransportEnergyCons!$A$4:$A$10000))*1,[1]OUT_TransportEnergyCons!E$4:E$10000))*1000</f>
        <v>2.37782340862423E-2</v>
      </c>
      <c r="H1992" s="1" cm="1">
        <f t="array" ref="H1992">(SUMPRODUCT(("Var_Cap"=[1]OUT_TransportEnergyCons!$B$4:$B$10000)*1,ISNUMBER(SEARCH("T_b_c*ICE*nga*ext",[1]OUT_TransportEnergyCons!$A$4:$A$10000))*1,[1]OUT_TransportEnergyCons!F$4:F$10000))*1000</f>
        <v>1.4861396303901497E-2</v>
      </c>
      <c r="I1992" s="1" cm="1">
        <f t="array" ref="I1992">(SUMPRODUCT(("Var_Cap"=[1]OUT_TransportEnergyCons!$B$4:$B$10000)*1,ISNUMBER(SEARCH("T_b_c*ICE*nga*ext",[1]OUT_TransportEnergyCons!$A$4:$A$10000))*1,[1]OUT_TransportEnergyCons!G$4:G$10000))*1000</f>
        <v>0</v>
      </c>
      <c r="J1992" s="1" cm="1">
        <f t="array" ref="J1992">(SUMPRODUCT(("Var_Cap"=[1]OUT_TransportEnergyCons!$B$4:$B$10000)*1,ISNUMBER(SEARCH("T_b_c*ICE*nga*ext",[1]OUT_TransportEnergyCons!$A$4:$A$10000))*1,[1]OUT_TransportEnergyCons!H$4:H$10000))*1000</f>
        <v>0</v>
      </c>
      <c r="K1992" s="1" cm="1">
        <f t="array" ref="K1992">(SUMPRODUCT(("Var_Cap"=[1]OUT_TransportEnergyCons!$B$4:$B$10000)*1,ISNUMBER(SEARCH("T_b_c*ICE*nga*ext",[1]OUT_TransportEnergyCons!$A$4:$A$10000))*1,[1]OUT_TransportEnergyCons!I$4:I$10000))*1000</f>
        <v>0</v>
      </c>
    </row>
    <row r="1993" spans="2:11" x14ac:dyDescent="0.35">
      <c r="B1993" s="5" t="str">
        <f t="shared" si="1250"/>
        <v>SPS4</v>
      </c>
      <c r="C1993" s="5" t="str">
        <f t="shared" si="1256"/>
        <v>CH</v>
      </c>
      <c r="D1993" t="s">
        <v>2028</v>
      </c>
      <c r="E1993" t="s">
        <v>2000</v>
      </c>
      <c r="F1993" s="1" cm="1">
        <f t="array" ref="F1993">(SUMPRODUCT(("Var_Cap"=[1]OUT_TransportEnergyCons!$B$4:$B$10000)*1,ISNUMBER(SEARCH("T_b_c*ICE*nga*s1",[1]OUT_TransportEnergyCons!$A$4:$A$10000))*1,[1]OUT_TransportEnergyCons!D$4:D$10000))*1000</f>
        <v>0</v>
      </c>
      <c r="G1993" s="1" cm="1">
        <f t="array" ref="G1993">(SUMPRODUCT(("Var_Cap"=[1]OUT_TransportEnergyCons!$B$4:$B$10000)*1,ISNUMBER(SEARCH("T_b_c*ICE*nga*s1",[1]OUT_TransportEnergyCons!$A$4:$A$10000))*1,[1]OUT_TransportEnergyCons!E$4:E$10000))*1000</f>
        <v>4.3111511576125896E-4</v>
      </c>
      <c r="H1993" s="1" cm="1">
        <f t="array" ref="H1993">(SUMPRODUCT(("Var_Cap"=[1]OUT_TransportEnergyCons!$B$4:$B$10000)*1,ISNUMBER(SEARCH("T_b_c*ICE*nga*s1",[1]OUT_TransportEnergyCons!$A$4:$A$10000))*1,[1]OUT_TransportEnergyCons!F$4:F$10000))*1000</f>
        <v>2.1091178112703298E-3</v>
      </c>
      <c r="I1993" s="1" cm="1">
        <f t="array" ref="I1993">(SUMPRODUCT(("Var_Cap"=[1]OUT_TransportEnergyCons!$B$4:$B$10000)*1,ISNUMBER(SEARCH("T_b_c*ICE*nga*s1",[1]OUT_TransportEnergyCons!$A$4:$A$10000))*1,[1]OUT_TransportEnergyCons!G$4:G$10000))*1000</f>
        <v>-1.1793933320498157E-6</v>
      </c>
      <c r="J1993" s="1" cm="1">
        <f t="array" ref="J1993">(SUMPRODUCT(("Var_Cap"=[1]OUT_TransportEnergyCons!$B$4:$B$10000)*1,ISNUMBER(SEARCH("T_b_c*ICE*nga*s1",[1]OUT_TransportEnergyCons!$A$4:$A$10000))*1,[1]OUT_TransportEnergyCons!H$4:H$10000))*1000</f>
        <v>0</v>
      </c>
      <c r="K1993" s="1" cm="1">
        <f t="array" ref="K1993">(SUMPRODUCT(("Var_Cap"=[1]OUT_TransportEnergyCons!$B$4:$B$10000)*1,ISNUMBER(SEARCH("T_b_c*ICE*nga*s1",[1]OUT_TransportEnergyCons!$A$4:$A$10000))*1,[1]OUT_TransportEnergyCons!I$4:I$10000))*1000</f>
        <v>0</v>
      </c>
    </row>
    <row r="1994" spans="2:11" x14ac:dyDescent="0.35">
      <c r="B1994" s="5" t="str">
        <f t="shared" si="1250"/>
        <v>SPS4</v>
      </c>
      <c r="C1994" s="5" t="str">
        <f t="shared" si="1256"/>
        <v>CH</v>
      </c>
      <c r="D1994" t="s">
        <v>2029</v>
      </c>
      <c r="E1994" t="s">
        <v>2000</v>
      </c>
      <c r="F1994" s="1" cm="1">
        <f t="array" ref="F1994">(SUMPRODUCT(("Var_Cap"=[1]OUT_TransportEnergyCons!$B$4:$B$10000)*1,ISNUMBER(SEARCH("T_b_c*ICE*nga*s2",[1]OUT_TransportEnergyCons!$A$4:$A$10000))*1,[1]OUT_TransportEnergyCons!D$4:D$10000))*1000</f>
        <v>0</v>
      </c>
      <c r="G1994" s="1" cm="1">
        <f t="array" ref="G1994">(SUMPRODUCT(("Var_Cap"=[1]OUT_TransportEnergyCons!$B$4:$B$10000)*1,ISNUMBER(SEARCH("T_b_c*ICE*nga*s2",[1]OUT_TransportEnergyCons!$A$4:$A$10000))*1,[1]OUT_TransportEnergyCons!E$4:E$10000))*1000</f>
        <v>1.7031188395328601E-4</v>
      </c>
      <c r="H1994" s="1" cm="1">
        <f t="array" ref="H1994">(SUMPRODUCT(("Var_Cap"=[1]OUT_TransportEnergyCons!$B$4:$B$10000)*1,ISNUMBER(SEARCH("T_b_c*ICE*nga*s2",[1]OUT_TransportEnergyCons!$A$4:$A$10000))*1,[1]OUT_TransportEnergyCons!F$4:F$10000))*1000</f>
        <v>8.46023777400459E-4</v>
      </c>
      <c r="I1994" s="1" cm="1">
        <f t="array" ref="I1994">(SUMPRODUCT(("Var_Cap"=[1]OUT_TransportEnergyCons!$B$4:$B$10000)*1,ISNUMBER(SEARCH("T_b_c*ICE*nga*s2",[1]OUT_TransportEnergyCons!$A$4:$A$10000))*1,[1]OUT_TransportEnergyCons!G$4:G$10000))*1000</f>
        <v>-2.2119747140349889E-6</v>
      </c>
      <c r="J1994" s="1" cm="1">
        <f t="array" ref="J1994">(SUMPRODUCT(("Var_Cap"=[1]OUT_TransportEnergyCons!$B$4:$B$10000)*1,ISNUMBER(SEARCH("T_b_c*ICE*nga*s2",[1]OUT_TransportEnergyCons!$A$4:$A$10000))*1,[1]OUT_TransportEnergyCons!H$4:H$10000))*1000</f>
        <v>0</v>
      </c>
      <c r="K1994" s="1" cm="1">
        <f t="array" ref="K1994">(SUMPRODUCT(("Var_Cap"=[1]OUT_TransportEnergyCons!$B$4:$B$10000)*1,ISNUMBER(SEARCH("T_b_c*ICE*nga*s2",[1]OUT_TransportEnergyCons!$A$4:$A$10000))*1,[1]OUT_TransportEnergyCons!I$4:I$10000))*1000</f>
        <v>0</v>
      </c>
    </row>
    <row r="1995" spans="2:11" x14ac:dyDescent="0.35">
      <c r="B1995" s="5" t="str">
        <f t="shared" si="1250"/>
        <v>SPS4</v>
      </c>
      <c r="C1995" s="5" t="str">
        <f t="shared" si="1256"/>
        <v>CH</v>
      </c>
      <c r="D1995" t="s">
        <v>2030</v>
      </c>
      <c r="E1995" t="s">
        <v>2000</v>
      </c>
      <c r="F1995" s="1" cm="1">
        <f t="array" ref="F1995">(SUMPRODUCT(("Var_Cap"=[1]OUT_TransportEnergyCons!$B$4:$B$10000)*1,ISNUMBER(SEARCH("T_b_c*ICE*nga*s3",[1]OUT_TransportEnergyCons!$A$4:$A$10000))*1,[1]OUT_TransportEnergyCons!D$4:D$10000))*1000</f>
        <v>0</v>
      </c>
      <c r="G1995" s="1" cm="1">
        <f t="array" ref="G1995">(SUMPRODUCT(("Var_Cap"=[1]OUT_TransportEnergyCons!$B$4:$B$10000)*1,ISNUMBER(SEARCH("T_b_c*ICE*nga*s3",[1]OUT_TransportEnergyCons!$A$4:$A$10000))*1,[1]OUT_TransportEnergyCons!E$4:E$10000))*1000</f>
        <v>9.9313399115962396E-5</v>
      </c>
      <c r="H1995" s="1" cm="1">
        <f t="array" ref="H1995">(SUMPRODUCT(("Var_Cap"=[1]OUT_TransportEnergyCons!$B$4:$B$10000)*1,ISNUMBER(SEARCH("T_b_c*ICE*nga*s3",[1]OUT_TransportEnergyCons!$A$4:$A$10000))*1,[1]OUT_TransportEnergyCons!F$4:F$10000))*1000</f>
        <v>3.6748172867166501E-4</v>
      </c>
      <c r="I1995" s="1" cm="1">
        <f t="array" ref="I1995">(SUMPRODUCT(("Var_Cap"=[1]OUT_TransportEnergyCons!$B$4:$B$10000)*1,ISNUMBER(SEARCH("T_b_c*ICE*nga*s3",[1]OUT_TransportEnergyCons!$A$4:$A$10000))*1,[1]OUT_TransportEnergyCons!G$4:G$10000))*1000</f>
        <v>8.2460415376159629E-6</v>
      </c>
      <c r="J1995" s="1" cm="1">
        <f t="array" ref="J1995">(SUMPRODUCT(("Var_Cap"=[1]OUT_TransportEnergyCons!$B$4:$B$10000)*1,ISNUMBER(SEARCH("T_b_c*ICE*nga*s3",[1]OUT_TransportEnergyCons!$A$4:$A$10000))*1,[1]OUT_TransportEnergyCons!H$4:H$10000))*1000</f>
        <v>1.1386586735944001E-5</v>
      </c>
      <c r="K1995" s="1" cm="1">
        <f t="array" ref="K1995">(SUMPRODUCT(("Var_Cap"=[1]OUT_TransportEnergyCons!$B$4:$B$10000)*1,ISNUMBER(SEARCH("T_b_c*ICE*nga*s3",[1]OUT_TransportEnergyCons!$A$4:$A$10000))*1,[1]OUT_TransportEnergyCons!I$4:I$10000))*1000</f>
        <v>3.9001478849581203E-6</v>
      </c>
    </row>
    <row r="1996" spans="2:11" x14ac:dyDescent="0.35">
      <c r="B1996" s="5" t="str">
        <f t="shared" si="1250"/>
        <v>SPS4</v>
      </c>
      <c r="C1996" s="5" t="str">
        <f t="shared" si="1256"/>
        <v>CH</v>
      </c>
      <c r="D1996" t="s">
        <v>2031</v>
      </c>
      <c r="E1996" t="s">
        <v>2000</v>
      </c>
      <c r="F1996" s="1" cm="1">
        <f t="array" ref="F1996">(SUMPRODUCT(("Var_Cap"=[1]OUT_TransportEnergyCons!$B$4:$B$10000)*1,ISNUMBER(SEARCH("T_b_c*ICE*nga*s4",[1]OUT_TransportEnergyCons!$A$4:$A$10000))*1,[1]OUT_TransportEnergyCons!D$4:D$10000))*1000</f>
        <v>0</v>
      </c>
      <c r="G1996" s="1" cm="1">
        <f t="array" ref="G1996">(SUMPRODUCT(("Var_Cap"=[1]OUT_TransportEnergyCons!$B$4:$B$10000)*1,ISNUMBER(SEARCH("T_b_c*ICE*nga*s4",[1]OUT_TransportEnergyCons!$A$4:$A$10000))*1,[1]OUT_TransportEnergyCons!E$4:E$10000))*1000</f>
        <v>1.13622344387278E-5</v>
      </c>
      <c r="H1996" s="1" cm="1">
        <f t="array" ref="H1996">(SUMPRODUCT(("Var_Cap"=[1]OUT_TransportEnergyCons!$B$4:$B$10000)*1,ISNUMBER(SEARCH("T_b_c*ICE*nga*s4",[1]OUT_TransportEnergyCons!$A$4:$A$10000))*1,[1]OUT_TransportEnergyCons!F$4:F$10000))*1000</f>
        <v>3.2046542611069199E-5</v>
      </c>
      <c r="I1996" s="1" cm="1">
        <f t="array" ref="I1996">(SUMPRODUCT(("Var_Cap"=[1]OUT_TransportEnergyCons!$B$4:$B$10000)*1,ISNUMBER(SEARCH("T_b_c*ICE*nga*s4",[1]OUT_TransportEnergyCons!$A$4:$A$10000))*1,[1]OUT_TransportEnergyCons!G$4:G$10000))*1000</f>
        <v>-9.6722394966010059E-7</v>
      </c>
      <c r="J1996" s="1" cm="1">
        <f t="array" ref="J1996">(SUMPRODUCT(("Var_Cap"=[1]OUT_TransportEnergyCons!$B$4:$B$10000)*1,ISNUMBER(SEARCH("T_b_c*ICE*nga*s4",[1]OUT_TransportEnergyCons!$A$4:$A$10000))*1,[1]OUT_TransportEnergyCons!H$4:H$10000))*1000</f>
        <v>0</v>
      </c>
      <c r="K1996" s="1" cm="1">
        <f t="array" ref="K1996">(SUMPRODUCT(("Var_Cap"=[1]OUT_TransportEnergyCons!$B$4:$B$10000)*1,ISNUMBER(SEARCH("T_b_c*ICE*nga*s4",[1]OUT_TransportEnergyCons!$A$4:$A$10000))*1,[1]OUT_TransportEnergyCons!I$4:I$10000))*1000</f>
        <v>0</v>
      </c>
    </row>
    <row r="1997" spans="2:11" x14ac:dyDescent="0.35">
      <c r="B1997" s="5" t="str">
        <f t="shared" si="1250"/>
        <v>SPS4</v>
      </c>
      <c r="C1997" s="5" t="str">
        <f>C1996</f>
        <v>CH</v>
      </c>
      <c r="D1997" s="2" t="s">
        <v>2122</v>
      </c>
      <c r="E1997" s="2" t="s">
        <v>2000</v>
      </c>
      <c r="F1997" s="3">
        <f>SUM(F1998:F2006)</f>
        <v>399.86487260864942</v>
      </c>
      <c r="G1997" s="3">
        <f t="shared" ref="G1997:K1997" si="1257">SUM(G1998:G2006)</f>
        <v>399.40167071134721</v>
      </c>
      <c r="H1997" s="3">
        <f t="shared" si="1257"/>
        <v>406.57013118230543</v>
      </c>
      <c r="I1997" s="3">
        <f t="shared" si="1257"/>
        <v>418.51957528554107</v>
      </c>
      <c r="J1997" s="3">
        <f t="shared" si="1257"/>
        <v>466.44552660950603</v>
      </c>
      <c r="K1997" s="3">
        <f t="shared" si="1257"/>
        <v>505.40106246051408</v>
      </c>
    </row>
    <row r="1998" spans="2:11" x14ac:dyDescent="0.35">
      <c r="B1998" s="5" t="str">
        <f t="shared" si="1250"/>
        <v>SPS4</v>
      </c>
      <c r="C1998" s="5" t="str">
        <f t="shared" ref="C1998:C2006" si="1258">C1997</f>
        <v>CH</v>
      </c>
      <c r="D1998" t="s">
        <v>2123</v>
      </c>
      <c r="E1998" t="s">
        <v>2000</v>
      </c>
      <c r="F1998" s="1" cm="1">
        <f t="array" ref="F1998">(SUMPRODUCT(("Var_Cap"=[1]OUT_TransportEnergyCons!$B$4:$B$10000)*1,("-"=[1]OUT_TransportEnergyCons!$C$4:$C$10000)*1,ISNUMBER(SEARCH("tfl*bev*ext",[1]OUT_TransportEnergyCons!$A$4:$A$10000))*1,[1]OUT_TransportEnergyCons!D$4:D$10000))*1000</f>
        <v>1.95</v>
      </c>
      <c r="G1998" s="1" cm="1">
        <f t="array" ref="G1998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1998" s="1" cm="1">
        <f t="array" ref="H1998">(SUMPRODUCT(("Var_Cap"=[1]OUT_TransportEnergyCons!$B$4:$B$10000)*1,("-"=[1]OUT_TransportEnergyCons!$C$4:$C$10000)*1,ISNUMBER(SEARCH("tfl*bev*ext",[1]OUT_TransportEnergyCons!$A$4:$A$10000))*1,[1]OUT_TransportEnergyCons!F$4:F$10000))*1000</f>
        <v>1.3</v>
      </c>
      <c r="I1998" s="1" cm="1">
        <f t="array" ref="I1998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1998" s="1" cm="1">
        <f t="array" ref="J1998">(SUMPRODUCT(("Var_Cap"=[1]OUT_TransportEnergyCons!$B$4:$B$10000)*1,("-"=[1]OUT_TransportEnergyCons!$C$4:$C$10000)*1,ISNUMBER(SEARCH("tfl*bev*ext",[1]OUT_TransportEnergyCons!$A$4:$A$10000))*1,[1]OUT_TransportEnergyCons!H$4:H$10000))*1000</f>
        <v>0</v>
      </c>
      <c r="K1998" s="1" cm="1">
        <f t="array" ref="K1998">(SUMPRODUCT(("Var_Cap"=[1]OUT_TransportEnergyCons!$B$4:$B$10000)*1,("-"=[1]OUT_TransportEnergyCons!$C$4:$C$10000)*1,ISNUMBER(SEARCH("tfl*bev*ext",[1]OUT_TransportEnergyCons!$A$4:$A$10000))*1,[1]OUT_TransportEnergyCons!I$4:I$10000))*1000</f>
        <v>0</v>
      </c>
    </row>
    <row r="1999" spans="2:11" x14ac:dyDescent="0.35">
      <c r="B1999" s="5" t="str">
        <f t="shared" si="1250"/>
        <v>SPS4</v>
      </c>
      <c r="C1999" s="5" t="str">
        <f t="shared" si="1258"/>
        <v>CH</v>
      </c>
      <c r="D1999" t="s">
        <v>2124</v>
      </c>
      <c r="E1999" t="s">
        <v>2000</v>
      </c>
      <c r="F1999" s="1" cm="1">
        <f t="array" ref="F1999">(SUMPRODUCT(("Var_Cap"=[1]OUT_TransportEnergyCons!$B$4:$B$10000)*1,("-"=[1]OUT_TransportEnergyCons!$C$4:$C$10000)*1,ISNUMBER(SEARCH("tfl*bev*",[1]OUT_TransportEnergyCons!$A$4:$A$10000))*1,[1]OUT_TransportEnergyCons!D$4:D$10000))*1000-F1998</f>
        <v>1.6987529516028703</v>
      </c>
      <c r="G1999" s="1" cm="1">
        <f t="array" ref="G1999">(SUMPRODUCT(("Var_Cap"=[1]OUT_TransportEnergyCons!$B$4:$B$10000)*1,("-"=[1]OUT_TransportEnergyCons!$C$4:$C$10000)*1,ISNUMBER(SEARCH("tfl*bev*",[1]OUT_TransportEnergyCons!$A$4:$A$10000))*1,[1]OUT_TransportEnergyCons!E$4:E$10000))*1000-G1998</f>
        <v>5.0937450496203223</v>
      </c>
      <c r="H1999" s="1" cm="1">
        <f t="array" ref="H1999">(SUMPRODUCT(("Var_Cap"=[1]OUT_TransportEnergyCons!$B$4:$B$10000)*1,("-"=[1]OUT_TransportEnergyCons!$C$4:$C$10000)*1,ISNUMBER(SEARCH("tfl*bev*",[1]OUT_TransportEnergyCons!$A$4:$A$10000))*1,[1]OUT_TransportEnergyCons!F$4:F$10000))*1000-H1998</f>
        <v>15.4716243921748</v>
      </c>
      <c r="I1999" s="1" cm="1">
        <f t="array" ref="I1999">(SUMPRODUCT(("Var_Cap"=[1]OUT_TransportEnergyCons!$B$4:$B$10000)*1,("-"=[1]OUT_TransportEnergyCons!$C$4:$C$10000)*1,ISNUMBER(SEARCH("tfl*bev*",[1]OUT_TransportEnergyCons!$A$4:$A$10000))*1,[1]OUT_TransportEnergyCons!G$4:G$10000))*1000-I1998</f>
        <v>59.887760261564168</v>
      </c>
      <c r="J1999" s="1" cm="1">
        <f t="array" ref="J1999">(SUMPRODUCT(("Var_Cap"=[1]OUT_TransportEnergyCons!$B$4:$B$10000)*1,("-"=[1]OUT_TransportEnergyCons!$C$4:$C$10000)*1,ISNUMBER(SEARCH("tfl*bev*",[1]OUT_TransportEnergyCons!$A$4:$A$10000))*1,[1]OUT_TransportEnergyCons!H$4:H$10000))*1000-J1998</f>
        <v>325.62342634482962</v>
      </c>
      <c r="K1999" s="1" cm="1">
        <f t="array" ref="K1999">(SUMPRODUCT(("Var_Cap"=[1]OUT_TransportEnergyCons!$B$4:$B$10000)*1,("-"=[1]OUT_TransportEnergyCons!$C$4:$C$10000)*1,ISNUMBER(SEARCH("tfl*bev*",[1]OUT_TransportEnergyCons!$A$4:$A$10000))*1,[1]OUT_TransportEnergyCons!I$4:I$10000))*1000-K1998</f>
        <v>348.93898115592845</v>
      </c>
    </row>
    <row r="2000" spans="2:11" x14ac:dyDescent="0.35">
      <c r="B2000" s="5" t="str">
        <f t="shared" si="1250"/>
        <v>SPS4</v>
      </c>
      <c r="C2000" s="5" t="str">
        <f t="shared" si="1258"/>
        <v>CH</v>
      </c>
      <c r="D2000" t="s">
        <v>2125</v>
      </c>
      <c r="E2000" t="s">
        <v>2000</v>
      </c>
      <c r="F2000" s="1" cm="1">
        <f t="array" ref="F2000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0" s="1" cm="1">
        <f t="array" ref="G2000">(SUMPRODUCT(("Var_Cap"=[1]OUT_TransportEnergyCons!$B$4:$B$10000)*1,("-"=[1]OUT_TransportEnergyCons!$C$4:$C$10000)*1,ISNUMBER(SEARCH("tfl*h2o*",[1]OUT_TransportEnergyCons!$A$4:$A$10000))*1,[1]OUT_TransportEnergyCons!E$4:E$10000))*1000</f>
        <v>1.97878553256337E-3</v>
      </c>
      <c r="H2000" s="1" cm="1">
        <f t="array" ref="H2000">(SUMPRODUCT(("Var_Cap"=[1]OUT_TransportEnergyCons!$B$4:$B$10000)*1,("-"=[1]OUT_TransportEnergyCons!$C$4:$C$10000)*1,ISNUMBER(SEARCH("tfl*h2o*",[1]OUT_TransportEnergyCons!$A$4:$A$10000))*1,[1]OUT_TransportEnergyCons!F$4:F$10000))*1000</f>
        <v>2.7264885816113802E-3</v>
      </c>
      <c r="I2000" s="1" cm="1">
        <f t="array" ref="I2000">(SUMPRODUCT(("Var_Cap"=[1]OUT_TransportEnergyCons!$B$4:$B$10000)*1,("-"=[1]OUT_TransportEnergyCons!$C$4:$C$10000)*1,ISNUMBER(SEARCH("tfl*h2o*",[1]OUT_TransportEnergyCons!$A$4:$A$10000))*1,[1]OUT_TransportEnergyCons!G$4:G$10000))*1000</f>
        <v>1.3170122911441698E-3</v>
      </c>
      <c r="J2000" s="1" cm="1">
        <f t="array" ref="J2000">(SUMPRODUCT(("Var_Cap"=[1]OUT_TransportEnergyCons!$B$4:$B$10000)*1,("-"=[1]OUT_TransportEnergyCons!$C$4:$C$10000)*1,ISNUMBER(SEARCH("tfl*h2o*",[1]OUT_TransportEnergyCons!$A$4:$A$10000))*1,[1]OUT_TransportEnergyCons!H$4:H$10000))*1000</f>
        <v>1.2321342828703309E-3</v>
      </c>
      <c r="K2000" s="1" cm="1">
        <f t="array" ref="K2000">(SUMPRODUCT(("Var_Cap"=[1]OUT_TransportEnergyCons!$B$4:$B$10000)*1,("-"=[1]OUT_TransportEnergyCons!$C$4:$C$10000)*1,ISNUMBER(SEARCH("tfl*h2o*",[1]OUT_TransportEnergyCons!$A$4:$A$10000))*1,[1]OUT_TransportEnergyCons!I$4:I$10000))*1000</f>
        <v>1.25115209082973E-3</v>
      </c>
    </row>
    <row r="2001" spans="2:11" x14ac:dyDescent="0.35">
      <c r="B2001" s="5" t="str">
        <f t="shared" si="1250"/>
        <v>SPS4</v>
      </c>
      <c r="C2001" s="5" t="str">
        <f t="shared" si="1258"/>
        <v>CH</v>
      </c>
      <c r="D2001" t="s">
        <v>2126</v>
      </c>
      <c r="E2001" t="s">
        <v>2000</v>
      </c>
      <c r="F2001" s="1" cm="1">
        <f t="array" ref="F2001">(SUMPRODUCT(("Var_Cap"=[1]OUT_TransportEnergyCons!$B$4:$B$10000)*1,("-"=[1]OUT_TransportEnergyCons!$C$4:$C$10000)*1,ISNUMBER(SEARCH("TfL*ICE*GSL*ext",[1]OUT_TransportEnergyCons!$A$4:$A$10000))*1,[1]OUT_TransportEnergyCons!D$4:D$10000))*1000</f>
        <v>45.951999999999998</v>
      </c>
      <c r="G2001" s="1" cm="1">
        <f t="array" ref="G2001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1" s="1" cm="1">
        <f t="array" ref="H2001">(SUMPRODUCT(("Var_Cap"=[1]OUT_TransportEnergyCons!$B$4:$B$10000)*1,("-"=[1]OUT_TransportEnergyCons!$C$4:$C$10000)*1,ISNUMBER(SEARCH("TfL*ICE*GSL*ext",[1]OUT_TransportEnergyCons!$A$4:$A$10000))*1,[1]OUT_TransportEnergyCons!F$4:F$10000))*1000</f>
        <v>30.6346666666667</v>
      </c>
      <c r="I2001" s="1" cm="1">
        <f t="array" ref="I2001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1" s="1" cm="1">
        <f t="array" ref="J2001">(SUMPRODUCT(("Var_Cap"=[1]OUT_TransportEnergyCons!$B$4:$B$10000)*1,("-"=[1]OUT_TransportEnergyCons!$C$4:$C$10000)*1,ISNUMBER(SEARCH("TfL*ICE*GSL*ext",[1]OUT_TransportEnergyCons!$A$4:$A$10000))*1,[1]OUT_TransportEnergyCons!H$4:H$10000))*1000</f>
        <v>0</v>
      </c>
      <c r="K2001" s="1" cm="1">
        <f t="array" ref="K2001">(SUMPRODUCT(("Var_Cap"=[1]OUT_TransportEnergyCons!$B$4:$B$10000)*1,("-"=[1]OUT_TransportEnergyCons!$C$4:$C$10000)*1,ISNUMBER(SEARCH("TfL*ICE*GSL*ext",[1]OUT_TransportEnergyCons!$A$4:$A$10000))*1,[1]OUT_TransportEnergyCons!I$4:I$10000))*1000</f>
        <v>0</v>
      </c>
    </row>
    <row r="2002" spans="2:11" x14ac:dyDescent="0.35">
      <c r="B2002" s="5" t="str">
        <f t="shared" si="1250"/>
        <v>SPS4</v>
      </c>
      <c r="C2002" s="5" t="str">
        <f t="shared" si="1258"/>
        <v>CH</v>
      </c>
      <c r="D2002" t="s">
        <v>2127</v>
      </c>
      <c r="E2002" t="s">
        <v>2000</v>
      </c>
      <c r="F2002" s="1" cm="1">
        <f t="array" ref="F2002">(SUMPRODUCT(("Var_Cap"=[1]OUT_TransportEnergyCons!$B$4:$B$10000)*1,("-"=[1]OUT_TransportEnergyCons!$C$4:$C$10000)*1,ISNUMBER(SEARCH("TfL*ICE*GSL*",[1]OUT_TransportEnergyCons!$A$4:$A$10000))*1,[1]OUT_TransportEnergyCons!D$4:D$10000))*1000-F2001</f>
        <v>12.434769137901377</v>
      </c>
      <c r="G2002" s="1" cm="1">
        <f t="array" ref="G2002">(SUMPRODUCT(("Var_Cap"=[1]OUT_TransportEnergyCons!$B$4:$B$10000)*1,("-"=[1]OUT_TransportEnergyCons!$C$4:$C$10000)*1,ISNUMBER(SEARCH("TfL*ICE*GSL*",[1]OUT_TransportEnergyCons!$A$4:$A$10000))*1,[1]OUT_TransportEnergyCons!E$4:E$10000))*1000-G2001</f>
        <v>20.836684576649468</v>
      </c>
      <c r="H2002" s="1" cm="1">
        <f t="array" ref="H2002">(SUMPRODUCT(("Var_Cap"=[1]OUT_TransportEnergyCons!$B$4:$B$10000)*1,("-"=[1]OUT_TransportEnergyCons!$C$4:$C$10000)*1,ISNUMBER(SEARCH("TfL*ICE*GSL*",[1]OUT_TransportEnergyCons!$A$4:$A$10000))*1,[1]OUT_TransportEnergyCons!F$4:F$10000))*1000-H2001</f>
        <v>33.612502543907198</v>
      </c>
      <c r="I2002" s="1" cm="1">
        <f t="array" ref="I2002">(SUMPRODUCT(("Var_Cap"=[1]OUT_TransportEnergyCons!$B$4:$B$10000)*1,("-"=[1]OUT_TransportEnergyCons!$C$4:$C$10000)*1,ISNUMBER(SEARCH("TfL*ICE*GSL*",[1]OUT_TransportEnergyCons!$A$4:$A$10000))*1,[1]OUT_TransportEnergyCons!G$4:G$10000))*1000-I2001</f>
        <v>55.382479994528154</v>
      </c>
      <c r="J2002" s="1" cm="1">
        <f t="array" ref="J2002">(SUMPRODUCT(("Var_Cap"=[1]OUT_TransportEnergyCons!$B$4:$B$10000)*1,("-"=[1]OUT_TransportEnergyCons!$C$4:$C$10000)*1,ISNUMBER(SEARCH("TfL*ICE*GSL*",[1]OUT_TransportEnergyCons!$A$4:$A$10000))*1,[1]OUT_TransportEnergyCons!H$4:H$10000))*1000-J2001</f>
        <v>47.448116269999559</v>
      </c>
      <c r="K2002" s="1" cm="1">
        <f t="array" ref="K2002">(SUMPRODUCT(("Var_Cap"=[1]OUT_TransportEnergyCons!$B$4:$B$10000)*1,("-"=[1]OUT_TransportEnergyCons!$C$4:$C$10000)*1,ISNUMBER(SEARCH("TfL*ICE*GSL*",[1]OUT_TransportEnergyCons!$A$4:$A$10000))*1,[1]OUT_TransportEnergyCons!I$4:I$10000))*1000-K2001</f>
        <v>57.457434374556676</v>
      </c>
    </row>
    <row r="2003" spans="2:11" x14ac:dyDescent="0.35">
      <c r="B2003" s="5" t="str">
        <f t="shared" si="1250"/>
        <v>SPS4</v>
      </c>
      <c r="C2003" s="5" t="str">
        <f t="shared" si="1258"/>
        <v>CH</v>
      </c>
      <c r="D2003" t="s">
        <v>2128</v>
      </c>
      <c r="E2003" t="s">
        <v>2000</v>
      </c>
      <c r="F2003" s="1" cm="1">
        <f t="array" ref="F2003">(SUMPRODUCT(("Var_Cap"=[1]OUT_TransportEnergyCons!$B$4:$B$10000)*1,("-"=[1]OUT_TransportEnergyCons!$C$4:$C$10000)*1,ISNUMBER(SEARCH("tfl*ICE*DSL*ext",[1]OUT_TransportEnergyCons!$A$4:$A$10000))*1,[1]OUT_TransportEnergyCons!D$4:D$10000))*1000</f>
        <v>228.99299999999999</v>
      </c>
      <c r="G2003" s="1" cm="1">
        <f t="array" ref="G2003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3" s="1" cm="1">
        <f t="array" ref="H2003">(SUMPRODUCT(("Var_Cap"=[1]OUT_TransportEnergyCons!$B$4:$B$10000)*1,("-"=[1]OUT_TransportEnergyCons!$C$4:$C$10000)*1,ISNUMBER(SEARCH("tfl*ICE*DSL*ext",[1]OUT_TransportEnergyCons!$A$4:$A$10000))*1,[1]OUT_TransportEnergyCons!F$4:F$10000))*1000</f>
        <v>152.66197498041683</v>
      </c>
      <c r="I2003" s="1" cm="1">
        <f t="array" ref="I2003">(SUMPRODUCT(("Var_Cap"=[1]OUT_TransportEnergyCons!$B$4:$B$10000)*1,("-"=[1]OUT_TransportEnergyCons!$C$4:$C$10000)*1,ISNUMBER(SEARCH("tfl*ICE*DSL*ext",[1]OUT_TransportEnergyCons!$A$4:$A$10000))*1,[1]OUT_TransportEnergyCons!G$4:G$10000))*1000</f>
        <v>76.331000000000003</v>
      </c>
      <c r="J2003" s="1" cm="1">
        <f t="array" ref="J2003">(SUMPRODUCT(("Var_Cap"=[1]OUT_TransportEnergyCons!$B$4:$B$10000)*1,("-"=[1]OUT_TransportEnergyCons!$C$4:$C$10000)*1,ISNUMBER(SEARCH("tfl*ICE*DSL*ext",[1]OUT_TransportEnergyCons!$A$4:$A$10000))*1,[1]OUT_TransportEnergyCons!H$4:H$10000))*1000</f>
        <v>0</v>
      </c>
      <c r="K2003" s="1" cm="1">
        <f t="array" ref="K2003">(SUMPRODUCT(("Var_Cap"=[1]OUT_TransportEnergyCons!$B$4:$B$10000)*1,("-"=[1]OUT_TransportEnergyCons!$C$4:$C$10000)*1,ISNUMBER(SEARCH("tfl*ICE*DSL*ext",[1]OUT_TransportEnergyCons!$A$4:$A$10000))*1,[1]OUT_TransportEnergyCons!I$4:I$10000))*1000</f>
        <v>0</v>
      </c>
    </row>
    <row r="2004" spans="2:11" x14ac:dyDescent="0.35">
      <c r="B2004" s="5" t="str">
        <f t="shared" si="1250"/>
        <v>SPS4</v>
      </c>
      <c r="C2004" s="5" t="str">
        <f t="shared" si="1258"/>
        <v>CH</v>
      </c>
      <c r="D2004" t="s">
        <v>2129</v>
      </c>
      <c r="E2004" t="s">
        <v>2000</v>
      </c>
      <c r="F2004" s="1" cm="1">
        <f t="array" ref="F2004">(SUMPRODUCT(("Var_Cap"=[1]OUT_TransportEnergyCons!$B$4:$B$10000)*1,("-"=[1]OUT_TransportEnergyCons!$C$4:$C$10000)*1,ISNUMBER(SEARCH("tfl*ICE*DSL*",[1]OUT_TransportEnergyCons!$A$4:$A$10000))*1,[1]OUT_TransportEnergyCons!D$4:D$10000))*1000-F2003</f>
        <v>106.16866138911342</v>
      </c>
      <c r="G2004" s="1" cm="1">
        <f t="array" ref="G2004">(SUMPRODUCT(("Var_Cap"=[1]OUT_TransportEnergyCons!$B$4:$B$10000)*1,("-"=[1]OUT_TransportEnergyCons!$C$4:$C$10000)*1,ISNUMBER(SEARCH("tfl*ICE*DSL*",[1]OUT_TransportEnergyCons!$A$4:$A$10000))*1,[1]OUT_TransportEnergyCons!E$4:E$10000))*1000-G2003</f>
        <v>125.16944428864372</v>
      </c>
      <c r="H2004" s="1" cm="1">
        <f t="array" ref="H2004">(SUMPRODUCT(("Var_Cap"=[1]OUT_TransportEnergyCons!$B$4:$B$10000)*1,("-"=[1]OUT_TransportEnergyCons!$C$4:$C$10000)*1,ISNUMBER(SEARCH("tfl*ICE*DSL*",[1]OUT_TransportEnergyCons!$A$4:$A$10000))*1,[1]OUT_TransportEnergyCons!F$4:F$10000))*1000-H2003</f>
        <v>125.28278386946991</v>
      </c>
      <c r="I2004" s="1" cm="1">
        <f t="array" ref="I2004">(SUMPRODUCT(("Var_Cap"=[1]OUT_TransportEnergyCons!$B$4:$B$10000)*1,("-"=[1]OUT_TransportEnergyCons!$C$4:$C$10000)*1,ISNUMBER(SEARCH("tfl*ICE*DSL*",[1]OUT_TransportEnergyCons!$A$4:$A$10000))*1,[1]OUT_TransportEnergyCons!G$4:G$10000))*1000-I2003</f>
        <v>71.061937722699625</v>
      </c>
      <c r="J2004" s="1" cm="1">
        <f t="array" ref="J2004">(SUMPRODUCT(("Var_Cap"=[1]OUT_TransportEnergyCons!$B$4:$B$10000)*1,("-"=[1]OUT_TransportEnergyCons!$C$4:$C$10000)*1,ISNUMBER(SEARCH("tfl*ICE*DSL*",[1]OUT_TransportEnergyCons!$A$4:$A$10000))*1,[1]OUT_TransportEnergyCons!H$4:H$10000))*1000-J2003</f>
        <v>12.190009048206624</v>
      </c>
      <c r="K2004" s="1" cm="1">
        <f t="array" ref="K2004">(SUMPRODUCT(("Var_Cap"=[1]OUT_TransportEnergyCons!$B$4:$B$10000)*1,("-"=[1]OUT_TransportEnergyCons!$C$4:$C$10000)*1,ISNUMBER(SEARCH("tfl*ICE*DSL*",[1]OUT_TransportEnergyCons!$A$4:$A$10000))*1,[1]OUT_TransportEnergyCons!I$4:I$10000))*1000-K2003</f>
        <v>2.1804587385056133</v>
      </c>
    </row>
    <row r="2005" spans="2:11" x14ac:dyDescent="0.35">
      <c r="B2005" s="5" t="str">
        <f t="shared" si="1250"/>
        <v>SPS4</v>
      </c>
      <c r="C2005" s="5" t="str">
        <f t="shared" si="1258"/>
        <v>CH</v>
      </c>
      <c r="D2005" t="s">
        <v>2130</v>
      </c>
      <c r="E2005" t="s">
        <v>2000</v>
      </c>
      <c r="F2005" s="1" cm="1">
        <f t="array" ref="F2005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(SUMPRODUCT(("Var_Cap"=[1]OUT_TransportEnergyCons!$B$4:$B$10000)*1,("-"=[1]OUT_TransportEnergyCons!$C$4:$C$10000)*1,ISNUMBER(SEARCH("tfl*hyb*DSL*",[1]OUT_TransportEnergyCons!$A$4:$A$10000))*1,[1]OUT_TransportEnergyCons!E$4:E$10000))*1000</f>
        <v>5.8068843641156898</v>
      </c>
      <c r="H2005" s="1" cm="1">
        <f t="array" ref="H2005">(SUMPRODUCT(("Var_Cap"=[1]OUT_TransportEnergyCons!$B$4:$B$10000)*1,("-"=[1]OUT_TransportEnergyCons!$C$4:$C$10000)*1,ISNUMBER(SEARCH("tfl*hyb*DSL*",[1]OUT_TransportEnergyCons!$A$4:$A$10000))*1,[1]OUT_TransportEnergyCons!F$4:F$10000))*1000</f>
        <v>45.501808689349566</v>
      </c>
      <c r="I2005" s="1" cm="1">
        <f t="array" ref="I2005">(SUMPRODUCT(("Var_Cap"=[1]OUT_TransportEnergyCons!$B$4:$B$10000)*1,("-"=[1]OUT_TransportEnergyCons!$C$4:$C$10000)*1,ISNUMBER(SEARCH("tfl*hyb*DSL*",[1]OUT_TransportEnergyCons!$A$4:$A$10000))*1,[1]OUT_TransportEnergyCons!G$4:G$10000))*1000</f>
        <v>139.88348570052901</v>
      </c>
      <c r="J2005" s="1" cm="1">
        <f t="array" ref="J2005">(SUMPRODUCT(("Var_Cap"=[1]OUT_TransportEnergyCons!$B$4:$B$10000)*1,("-"=[1]OUT_TransportEnergyCons!$C$4:$C$10000)*1,ISNUMBER(SEARCH("tfl*hyb*DSL*",[1]OUT_TransportEnergyCons!$A$4:$A$10000))*1,[1]OUT_TransportEnergyCons!H$4:H$10000))*1000</f>
        <v>81.178916531721967</v>
      </c>
      <c r="K2005" s="1" cm="1">
        <f t="array" ref="K2005">(SUMPRODUCT(("Var_Cap"=[1]OUT_TransportEnergyCons!$B$4:$B$10000)*1,("-"=[1]OUT_TransportEnergyCons!$C$4:$C$10000)*1,ISNUMBER(SEARCH("tfl*hyb*DSL*",[1]OUT_TransportEnergyCons!$A$4:$A$10000))*1,[1]OUT_TransportEnergyCons!I$4:I$10000))*1000</f>
        <v>96.819579938408694</v>
      </c>
    </row>
    <row r="2006" spans="2:11" x14ac:dyDescent="0.35">
      <c r="B2006" s="5" t="str">
        <f t="shared" si="1250"/>
        <v>SPS4</v>
      </c>
      <c r="C2006" s="5" t="str">
        <f t="shared" si="1258"/>
        <v>CH</v>
      </c>
      <c r="D2006" t="s">
        <v>2131</v>
      </c>
      <c r="E2006" t="s">
        <v>2000</v>
      </c>
      <c r="F2006" s="1" cm="1">
        <f t="array" ref="F2006">(SUMPRODUCT(("Var_Cap"=[1]OUT_TransportEnergyCons!$B$4:$B$10000)*1,("-"=[1]OUT_TransportEnergyCons!$C$4:$C$10000)*1,ISNUMBER(SEARCH("tfl*ice*nga*",[1]OUT_TransportEnergyCons!$A$4:$A$10000))*1,[1]OUT_TransportEnergyCons!D$4:D$10000))*1000</f>
        <v>2.6676891300317451</v>
      </c>
      <c r="G2006" s="1" cm="1">
        <f t="array" ref="G2006">(SUMPRODUCT(("Var_Cap"=[1]OUT_TransportEnergyCons!$B$4:$B$10000)*1,("-"=[1]OUT_TransportEnergyCons!$C$4:$C$10000)*1,ISNUMBER(SEARCH("tfl*ice*nga*",[1]OUT_TransportEnergyCons!$A$4:$A$10000))*1,[1]OUT_TransportEnergyCons!E$4:E$10000))*1000</f>
        <v>2.517266980118722</v>
      </c>
      <c r="H2006" s="1" cm="1">
        <f t="array" ref="H2006">(SUMPRODUCT(("Var_Cap"=[1]OUT_TransportEnergyCons!$B$4:$B$10000)*1,("-"=[1]OUT_TransportEnergyCons!$C$4:$C$10000)*1,ISNUMBER(SEARCH("tfl*ice*nga*",[1]OUT_TransportEnergyCons!$A$4:$A$10000))*1,[1]OUT_TransportEnergyCons!F$4:F$10000))*1000</f>
        <v>2.1020435517387845</v>
      </c>
      <c r="I2006" s="1" cm="1">
        <f t="array" ref="I2006">(SUMPRODUCT(("Var_Cap"=[1]OUT_TransportEnergyCons!$B$4:$B$10000)*1,("-"=[1]OUT_TransportEnergyCons!$C$4:$C$10000)*1,ISNUMBER(SEARCH("tfl*ice*nga*",[1]OUT_TransportEnergyCons!$A$4:$A$10000))*1,[1]OUT_TransportEnergyCons!G$4:G$10000))*1000</f>
        <v>4.2612605956894286E-3</v>
      </c>
      <c r="J2006" s="1" cm="1">
        <f t="array" ref="J2006">(SUMPRODUCT(("Var_Cap"=[1]OUT_TransportEnergyCons!$B$4:$B$10000)*1,("-"=[1]OUT_TransportEnergyCons!$C$4:$C$10000)*1,ISNUMBER(SEARCH("tfl*ice*nga*",[1]OUT_TransportEnergyCons!$A$4:$A$10000))*1,[1]OUT_TransportEnergyCons!H$4:H$10000))*1000</f>
        <v>3.8262804654085459E-3</v>
      </c>
      <c r="K2006" s="1" cm="1">
        <f t="array" ref="K2006">(SUMPRODUCT(("Var_Cap"=[1]OUT_TransportEnergyCons!$B$4:$B$10000)*1,("-"=[1]OUT_TransportEnergyCons!$C$4:$C$10000)*1,ISNUMBER(SEARCH("tfl*ice*nga*",[1]OUT_TransportEnergyCons!$A$4:$A$10000))*1,[1]OUT_TransportEnergyCons!I$4:I$10000))*1000</f>
        <v>3.3571010238372897E-3</v>
      </c>
    </row>
    <row r="2007" spans="2:11" x14ac:dyDescent="0.35">
      <c r="B2007" s="5" t="str">
        <f t="shared" si="1250"/>
        <v>SPS4</v>
      </c>
      <c r="C2007" s="5" t="str">
        <f>C2006</f>
        <v>CH</v>
      </c>
      <c r="D2007" s="2" t="s">
        <v>2134</v>
      </c>
      <c r="E2007" s="2" t="s">
        <v>2000</v>
      </c>
      <c r="F2007" s="3">
        <f>SUM(F2008:F2016)</f>
        <v>41.459818097527858</v>
      </c>
      <c r="G2007" s="3">
        <f t="shared" ref="G2007" si="1259">SUM(G2008:G2016)</f>
        <v>43.007405685065741</v>
      </c>
      <c r="H2007" s="3">
        <f t="shared" ref="H2007" si="1260">SUM(H2008:H2016)</f>
        <v>43.440726466576514</v>
      </c>
      <c r="I2007" s="3">
        <f t="shared" ref="I2007" si="1261">SUM(I2008:I2016)</f>
        <v>45.246238611352879</v>
      </c>
      <c r="J2007" s="3">
        <f t="shared" ref="J2007" si="1262">SUM(J2008:J2016)</f>
        <v>49.193779451929572</v>
      </c>
      <c r="K2007" s="3">
        <f t="shared" ref="K2007" si="1263">SUM(K2008:K2016)</f>
        <v>53.191833929012518</v>
      </c>
    </row>
    <row r="2008" spans="2:11" x14ac:dyDescent="0.35">
      <c r="B2008" s="5" t="str">
        <f t="shared" si="1250"/>
        <v>SPS4</v>
      </c>
      <c r="C2008" s="5" t="str">
        <f t="shared" ref="C2008:C2016" si="1264">C2007</f>
        <v>CH</v>
      </c>
      <c r="D2008" t="s">
        <v>2135</v>
      </c>
      <c r="E2008" t="s">
        <v>2000</v>
      </c>
      <c r="F2008" s="1" cm="1">
        <f t="array" ref="F2008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08" s="1" cm="1">
        <f t="array" ref="G2008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08" s="1" cm="1">
        <f t="array" ref="H2008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08" s="1" cm="1">
        <f t="array" ref="I2008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08" s="1" cm="1">
        <f t="array" ref="J2008">(SUMPRODUCT(("Var_Cap"=[1]OUT_TransportEnergyCons!$B$4:$B$10000)*1,("-"=[1]OUT_TransportEnergyCons!$C$4:$C$10000)*1,ISNUMBER(SEARCH("tfh*bev*ext",[1]OUT_TransportEnergyCons!$A$4:$A$10000))*1,[1]OUT_TransportEnergyCons!H$4:H$10000))*1000</f>
        <v>0</v>
      </c>
      <c r="K2008" s="1" cm="1">
        <f t="array" ref="K2008">(SUMPRODUCT(("Var_Cap"=[1]OUT_TransportEnergyCons!$B$4:$B$10000)*1,("-"=[1]OUT_TransportEnergyCons!$C$4:$C$10000)*1,ISNUMBER(SEARCH("tfh*bev*ext",[1]OUT_TransportEnergyCons!$A$4:$A$10000))*1,[1]OUT_TransportEnergyCons!I$4:I$10000))*1000</f>
        <v>0</v>
      </c>
    </row>
    <row r="2009" spans="2:11" x14ac:dyDescent="0.35">
      <c r="B2009" s="5" t="str">
        <f t="shared" si="1250"/>
        <v>SPS4</v>
      </c>
      <c r="C2009" s="5" t="str">
        <f t="shared" si="1264"/>
        <v>CH</v>
      </c>
      <c r="D2009" t="s">
        <v>2136</v>
      </c>
      <c r="E2009" t="s">
        <v>2000</v>
      </c>
      <c r="F2009" s="1" cm="1">
        <f t="array" ref="F2009">(SUMPRODUCT(("Var_Cap"=[1]OUT_TransportEnergyCons!$B$4:$B$10000)*1,("-"=[1]OUT_TransportEnergyCons!$C$4:$C$10000)*1,ISNUMBER(SEARCH("tfh*bev*",[1]OUT_TransportEnergyCons!$A$4:$A$10000))*1,[1]OUT_TransportEnergyCons!D$4:D$10000))*1000-F2008</f>
        <v>3.5587920012770696E-2</v>
      </c>
      <c r="G2009" s="1" cm="1">
        <f t="array" ref="G2009">(SUMPRODUCT(("Var_Cap"=[1]OUT_TransportEnergyCons!$B$4:$B$10000)*1,("-"=[1]OUT_TransportEnergyCons!$C$4:$C$10000)*1,ISNUMBER(SEARCH("tfh*bev*",[1]OUT_TransportEnergyCons!$A$4:$A$10000))*1,[1]OUT_TransportEnergyCons!E$4:E$10000))*1000-G2008</f>
        <v>9.4289819488296733E-2</v>
      </c>
      <c r="H2009" s="1" cm="1">
        <f t="array" ref="H2009">(SUMPRODUCT(("Var_Cap"=[1]OUT_TransportEnergyCons!$B$4:$B$10000)*1,("-"=[1]OUT_TransportEnergyCons!$C$4:$C$10000)*1,ISNUMBER(SEARCH("tfh*bev*",[1]OUT_TransportEnergyCons!$A$4:$A$10000))*1,[1]OUT_TransportEnergyCons!F$4:F$10000))*1000-H2008</f>
        <v>9.9004212882481679E-2</v>
      </c>
      <c r="I2009" s="1" cm="1">
        <f t="array" ref="I2009">(SUMPRODUCT(("Var_Cap"=[1]OUT_TransportEnergyCons!$B$4:$B$10000)*1,("-"=[1]OUT_TransportEnergyCons!$C$4:$C$10000)*1,ISNUMBER(SEARCH("tfh*bev*",[1]OUT_TransportEnergyCons!$A$4:$A$10000))*1,[1]OUT_TransportEnergyCons!G$4:G$10000))*1000-I2008</f>
        <v>3.1190387277447218E-2</v>
      </c>
      <c r="J2009" s="1" cm="1">
        <f t="array" ref="J2009">(SUMPRODUCT(("Var_Cap"=[1]OUT_TransportEnergyCons!$B$4:$B$10000)*1,("-"=[1]OUT_TransportEnergyCons!$C$4:$C$10000)*1,ISNUMBER(SEARCH("tfh*bev*",[1]OUT_TransportEnergyCons!$A$4:$A$10000))*1,[1]OUT_TransportEnergyCons!H$4:H$10000))*1000-J2008</f>
        <v>7.31381679977106E-3</v>
      </c>
      <c r="K2009" s="1" cm="1">
        <f t="array" ref="K2009">(SUMPRODUCT(("Var_Cap"=[1]OUT_TransportEnergyCons!$B$4:$B$10000)*1,("-"=[1]OUT_TransportEnergyCons!$C$4:$C$10000)*1,ISNUMBER(SEARCH("tfh*bev*",[1]OUT_TransportEnergyCons!$A$4:$A$10000))*1,[1]OUT_TransportEnergyCons!I$4:I$10000))*1000-K2008</f>
        <v>3.1699942670645803E-3</v>
      </c>
    </row>
    <row r="2010" spans="2:11" x14ac:dyDescent="0.35">
      <c r="B2010" s="5" t="str">
        <f t="shared" si="1250"/>
        <v>SPS4</v>
      </c>
      <c r="C2010" s="5" t="str">
        <f t="shared" si="1264"/>
        <v>CH</v>
      </c>
      <c r="D2010" t="s">
        <v>2137</v>
      </c>
      <c r="E2010" t="s">
        <v>2000</v>
      </c>
      <c r="F2010" s="1" cm="1">
        <f t="array" ref="F2010">(SUMPRODUCT(("Var_Cap"=[1]OUT_TransportEnergyCons!$B$4:$B$10000)*1,("-"=[1]OUT_TransportEnergyCons!$C$4:$C$10000)*1,ISNUMBER(SEARCH("tfh*h2o*",[1]OUT_TransportEnergyCons!$A$4:$A$10000))*1,[1]OUT_TransportEnergyCons!D$4:D$10000))*1000</f>
        <v>1.057590657137045E-2</v>
      </c>
      <c r="G2010" s="1" cm="1">
        <f t="array" ref="G2010">(SUMPRODUCT(("Var_Cap"=[1]OUT_TransportEnergyCons!$B$4:$B$10000)*1,("-"=[1]OUT_TransportEnergyCons!$C$4:$C$10000)*1,ISNUMBER(SEARCH("tfh*h2o*",[1]OUT_TransportEnergyCons!$A$4:$A$10000))*1,[1]OUT_TransportEnergyCons!E$4:E$10000))*1000</f>
        <v>3.6880600197940418E-3</v>
      </c>
      <c r="H2010" s="1" cm="1">
        <f t="array" ref="H2010">(SUMPRODUCT(("Var_Cap"=[1]OUT_TransportEnergyCons!$B$4:$B$10000)*1,("-"=[1]OUT_TransportEnergyCons!$C$4:$C$10000)*1,ISNUMBER(SEARCH("tfh*h2o*",[1]OUT_TransportEnergyCons!$A$4:$A$10000))*1,[1]OUT_TransportEnergyCons!F$4:F$10000))*1000</f>
        <v>3.8422989223701005E-3</v>
      </c>
      <c r="I2010" s="1" cm="1">
        <f t="array" ref="I2010">(SUMPRODUCT(("Var_Cap"=[1]OUT_TransportEnergyCons!$B$4:$B$10000)*1,("-"=[1]OUT_TransportEnergyCons!$C$4:$C$10000)*1,ISNUMBER(SEARCH("tfh*h2o*",[1]OUT_TransportEnergyCons!$A$4:$A$10000))*1,[1]OUT_TransportEnergyCons!G$4:G$10000))*1000</f>
        <v>8.0531025392681789E-4</v>
      </c>
      <c r="J2010" s="1" cm="1">
        <f t="array" ref="J2010">(SUMPRODUCT(("Var_Cap"=[1]OUT_TransportEnergyCons!$B$4:$B$10000)*1,("-"=[1]OUT_TransportEnergyCons!$C$4:$C$10000)*1,ISNUMBER(SEARCH("tfh*h2o*",[1]OUT_TransportEnergyCons!$A$4:$A$10000))*1,[1]OUT_TransportEnergyCons!H$4:H$10000))*1000</f>
        <v>7.9925790996626808E-4</v>
      </c>
      <c r="K2010" s="1" cm="1">
        <f t="array" ref="K2010">(SUMPRODUCT(("Var_Cap"=[1]OUT_TransportEnergyCons!$B$4:$B$10000)*1,("-"=[1]OUT_TransportEnergyCons!$C$4:$C$10000)*1,ISNUMBER(SEARCH("tfh*h2o*",[1]OUT_TransportEnergyCons!$A$4:$A$10000))*1,[1]OUT_TransportEnergyCons!I$4:I$10000))*1000</f>
        <v>7.5445558143641595E-4</v>
      </c>
    </row>
    <row r="2011" spans="2:11" x14ac:dyDescent="0.35">
      <c r="B2011" s="5" t="str">
        <f t="shared" si="1250"/>
        <v>SPS4</v>
      </c>
      <c r="C2011" s="5" t="str">
        <f t="shared" si="1264"/>
        <v>CH</v>
      </c>
      <c r="D2011" t="s">
        <v>2138</v>
      </c>
      <c r="E2011" t="s">
        <v>2000</v>
      </c>
      <c r="F2011" s="1" cm="1">
        <f t="array" ref="F2011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1" s="1" cm="1">
        <f t="array" ref="G2011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1" s="1" cm="1">
        <f t="array" ref="H2011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1" s="1" cm="1">
        <f t="array" ref="I2011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1" s="1" cm="1">
        <f t="array" ref="J2011">(SUMPRODUCT(("Var_Cap"=[1]OUT_TransportEnergyCons!$B$4:$B$10000)*1,("-"=[1]OUT_TransportEnergyCons!$C$4:$C$10000)*1,ISNUMBER(SEARCH("tfh*ICE*GSL*ext",[1]OUT_TransportEnergyCons!$A$4:$A$10000))*1,[1]OUT_TransportEnergyCons!H$4:H$10000))*1000</f>
        <v>0</v>
      </c>
      <c r="K2011" s="1" cm="1">
        <f t="array" ref="K2011">(SUMPRODUCT(("Var_Cap"=[1]OUT_TransportEnergyCons!$B$4:$B$10000)*1,("-"=[1]OUT_TransportEnergyCons!$C$4:$C$10000)*1,ISNUMBER(SEARCH("tfh*ICE*GSL*ext",[1]OUT_TransportEnergyCons!$A$4:$A$10000))*1,[1]OUT_TransportEnergyCons!I$4:I$10000))*1000</f>
        <v>0</v>
      </c>
    </row>
    <row r="2012" spans="2:11" x14ac:dyDescent="0.35">
      <c r="B2012" s="5" t="str">
        <f t="shared" si="1250"/>
        <v>SPS4</v>
      </c>
      <c r="C2012" s="5" t="str">
        <f t="shared" si="1264"/>
        <v>CH</v>
      </c>
      <c r="D2012" t="s">
        <v>2139</v>
      </c>
      <c r="E2012" t="s">
        <v>2000</v>
      </c>
      <c r="F2012" s="1" cm="1">
        <f t="array" ref="F2012">(SUMPRODUCT(("Var_Cap"=[1]OUT_TransportEnergyCons!$B$4:$B$10000)*1,("-"=[1]OUT_TransportEnergyCons!$C$4:$C$10000)*1,ISNUMBER(SEARCH("tfh*ICE*GSL*",[1]OUT_TransportEnergyCons!$A$4:$A$10000))*1,[1]OUT_TransportEnergyCons!D$4:D$10000))*1000-F2011</f>
        <v>0</v>
      </c>
      <c r="G2012" s="1" cm="1">
        <f t="array" ref="G2012">(SUMPRODUCT(("Var_Cap"=[1]OUT_TransportEnergyCons!$B$4:$B$10000)*1,("-"=[1]OUT_TransportEnergyCons!$C$4:$C$10000)*1,ISNUMBER(SEARCH("tfh*ICE*GSL*",[1]OUT_TransportEnergyCons!$A$4:$A$10000))*1,[1]OUT_TransportEnergyCons!E$4:E$10000))*1000-G2011</f>
        <v>0</v>
      </c>
      <c r="H2012" s="1" cm="1">
        <f t="array" ref="H2012">(SUMPRODUCT(("Var_Cap"=[1]OUT_TransportEnergyCons!$B$4:$B$10000)*1,("-"=[1]OUT_TransportEnergyCons!$C$4:$C$10000)*1,ISNUMBER(SEARCH("tfh*ICE*GSL*",[1]OUT_TransportEnergyCons!$A$4:$A$10000))*1,[1]OUT_TransportEnergyCons!F$4:F$10000))*1000-H2011</f>
        <v>0</v>
      </c>
      <c r="I2012" s="1" cm="1">
        <f t="array" ref="I2012">(SUMPRODUCT(("Var_Cap"=[1]OUT_TransportEnergyCons!$B$4:$B$10000)*1,("-"=[1]OUT_TransportEnergyCons!$C$4:$C$10000)*1,ISNUMBER(SEARCH("tfh*ICE*GSL*",[1]OUT_TransportEnergyCons!$A$4:$A$10000))*1,[1]OUT_TransportEnergyCons!G$4:G$10000))*1000-I2011</f>
        <v>0</v>
      </c>
      <c r="J2012" s="1" cm="1">
        <f t="array" ref="J2012">(SUMPRODUCT(("Var_Cap"=[1]OUT_TransportEnergyCons!$B$4:$B$10000)*1,("-"=[1]OUT_TransportEnergyCons!$C$4:$C$10000)*1,ISNUMBER(SEARCH("tfh*ICE*GSL*",[1]OUT_TransportEnergyCons!$A$4:$A$10000))*1,[1]OUT_TransportEnergyCons!H$4:H$10000))*1000-J2011</f>
        <v>0</v>
      </c>
      <c r="K2012" s="1" cm="1">
        <f t="array" ref="K2012">(SUMPRODUCT(("Var_Cap"=[1]OUT_TransportEnergyCons!$B$4:$B$10000)*1,("-"=[1]OUT_TransportEnergyCons!$C$4:$C$10000)*1,ISNUMBER(SEARCH("tfh*ICE*GSL*",[1]OUT_TransportEnergyCons!$A$4:$A$10000))*1,[1]OUT_TransportEnergyCons!I$4:I$10000))*1000-K2011</f>
        <v>0</v>
      </c>
    </row>
    <row r="2013" spans="2:11" x14ac:dyDescent="0.35">
      <c r="B2013" s="5" t="str">
        <f t="shared" si="1250"/>
        <v>SPS4</v>
      </c>
      <c r="C2013" s="5" t="str">
        <f t="shared" si="1264"/>
        <v>CH</v>
      </c>
      <c r="D2013" t="s">
        <v>2140</v>
      </c>
      <c r="E2013" t="s">
        <v>2000</v>
      </c>
      <c r="F2013" s="1" cm="1">
        <f t="array" ref="F2013">(SUMPRODUCT(("Var_Cap"=[1]OUT_TransportEnergyCons!$B$4:$B$10000)*1,("-"=[1]OUT_TransportEnergyCons!$C$4:$C$10000)*1,ISNUMBER(SEARCH("tfh*ICE*DSL*ext",[1]OUT_TransportEnergyCons!$A$4:$A$10000))*1,[1]OUT_TransportEnergyCons!D$4:D$10000))*1000</f>
        <v>29.662000000000003</v>
      </c>
      <c r="G2013" s="1" cm="1">
        <f t="array" ref="G2013">(SUMPRODUCT(("Var_Cap"=[1]OUT_TransportEnergyCons!$B$4:$B$10000)*1,("-"=[1]OUT_TransportEnergyCons!$C$4:$C$10000)*1,ISNUMBER(SEARCH("tfh*ICE*DSL*ext",[1]OUT_TransportEnergyCons!$A$4:$A$10000))*1,[1]OUT_TransportEnergyCons!E$4:E$10000))*1000</f>
        <v>25.707066666666702</v>
      </c>
      <c r="H2013" s="1" cm="1">
        <f t="array" ref="H2013">(SUMPRODUCT(("Var_Cap"=[1]OUT_TransportEnergyCons!$B$4:$B$10000)*1,("-"=[1]OUT_TransportEnergyCons!$C$4:$C$10000)*1,ISNUMBER(SEARCH("tfh*ICE*DSL*ext",[1]OUT_TransportEnergyCons!$A$4:$A$10000))*1,[1]OUT_TransportEnergyCons!F$4:F$10000))*1000</f>
        <v>19.7746666666667</v>
      </c>
      <c r="I2013" s="1" cm="1">
        <f t="array" ref="I2013">(SUMPRODUCT(("Var_Cap"=[1]OUT_TransportEnergyCons!$B$4:$B$10000)*1,("-"=[1]OUT_TransportEnergyCons!$C$4:$C$10000)*1,ISNUMBER(SEARCH("tfh*ICE*DSL*ext",[1]OUT_TransportEnergyCons!$A$4:$A$10000))*1,[1]OUT_TransportEnergyCons!G$4:G$10000))*1000</f>
        <v>9.8873333333333289</v>
      </c>
      <c r="J2013" s="1" cm="1">
        <f t="array" ref="J2013">(SUMPRODUCT(("Var_Cap"=[1]OUT_TransportEnergyCons!$B$4:$B$10000)*1,("-"=[1]OUT_TransportEnergyCons!$C$4:$C$10000)*1,ISNUMBER(SEARCH("tfh*ICE*DSL*ext",[1]OUT_TransportEnergyCons!$A$4:$A$10000))*1,[1]OUT_TransportEnergyCons!H$4:H$10000))*1000</f>
        <v>0</v>
      </c>
      <c r="K2013" s="1" cm="1">
        <f t="array" ref="K2013">(SUMPRODUCT(("Var_Cap"=[1]OUT_TransportEnergyCons!$B$4:$B$10000)*1,("-"=[1]OUT_TransportEnergyCons!$C$4:$C$10000)*1,ISNUMBER(SEARCH("tfh*ICE*DSL*ext",[1]OUT_TransportEnergyCons!$A$4:$A$10000))*1,[1]OUT_TransportEnergyCons!I$4:I$10000))*1000</f>
        <v>0</v>
      </c>
    </row>
    <row r="2014" spans="2:11" x14ac:dyDescent="0.35">
      <c r="B2014" s="5" t="str">
        <f t="shared" si="1250"/>
        <v>SPS4</v>
      </c>
      <c r="C2014" s="5" t="str">
        <f t="shared" si="1264"/>
        <v>CH</v>
      </c>
      <c r="D2014" t="s">
        <v>2141</v>
      </c>
      <c r="E2014" t="s">
        <v>2000</v>
      </c>
      <c r="F2014" s="1" cm="1">
        <f t="array" ref="F2014">(SUMPRODUCT(("Var_Cap"=[1]OUT_TransportEnergyCons!$B$4:$B$10000)*1,("-"=[1]OUT_TransportEnergyCons!$C$4:$C$10000)*1,ISNUMBER(SEARCH("tfh*ICE*DSL*",[1]OUT_TransportEnergyCons!$A$4:$A$10000))*1,[1]OUT_TransportEnergyCons!D$4:D$10000))*1000-F2013</f>
        <v>11.630117573777223</v>
      </c>
      <c r="G2014" s="1" cm="1">
        <f t="array" ref="G2014">(SUMPRODUCT(("Var_Cap"=[1]OUT_TransportEnergyCons!$B$4:$B$10000)*1,("-"=[1]OUT_TransportEnergyCons!$C$4:$C$10000)*1,ISNUMBER(SEARCH("tfh*ICE*DSL*",[1]OUT_TransportEnergyCons!$A$4:$A$10000))*1,[1]OUT_TransportEnergyCons!E$4:E$10000))*1000-G2013</f>
        <v>13.630121989075388</v>
      </c>
      <c r="H2014" s="1" cm="1">
        <f t="array" ref="H2014">(SUMPRODUCT(("Var_Cap"=[1]OUT_TransportEnergyCons!$B$4:$B$10000)*1,("-"=[1]OUT_TransportEnergyCons!$C$4:$C$10000)*1,ISNUMBER(SEARCH("tfh*ICE*DSL*",[1]OUT_TransportEnergyCons!$A$4:$A$10000))*1,[1]OUT_TransportEnergyCons!F$4:F$10000))*1000-H2013</f>
        <v>10.691625987044464</v>
      </c>
      <c r="I2014" s="1" cm="1">
        <f t="array" ref="I2014">(SUMPRODUCT(("Var_Cap"=[1]OUT_TransportEnergyCons!$B$4:$B$10000)*1,("-"=[1]OUT_TransportEnergyCons!$C$4:$C$10000)*1,ISNUMBER(SEARCH("tfh*ICE*DSL*",[1]OUT_TransportEnergyCons!$A$4:$A$10000))*1,[1]OUT_TransportEnergyCons!G$4:G$10000))*1000-I2013</f>
        <v>0.98759796224315188</v>
      </c>
      <c r="J2014" s="1" cm="1">
        <f t="array" ref="J2014">(SUMPRODUCT(("Var_Cap"=[1]OUT_TransportEnergyCons!$B$4:$B$10000)*1,("-"=[1]OUT_TransportEnergyCons!$C$4:$C$10000)*1,ISNUMBER(SEARCH("tfh*ICE*DSL*",[1]OUT_TransportEnergyCons!$A$4:$A$10000))*1,[1]OUT_TransportEnergyCons!H$4:H$10000))*1000-J2013</f>
        <v>9.6000153785551004E-3</v>
      </c>
      <c r="K2014" s="1" cm="1">
        <f t="array" ref="K2014">(SUMPRODUCT(("Var_Cap"=[1]OUT_TransportEnergyCons!$B$4:$B$10000)*1,("-"=[1]OUT_TransportEnergyCons!$C$4:$C$10000)*1,ISNUMBER(SEARCH("tfh*ICE*DSL*",[1]OUT_TransportEnergyCons!$A$4:$A$10000))*1,[1]OUT_TransportEnergyCons!I$4:I$10000))*1000-K2013</f>
        <v>3.3915924460827902E-3</v>
      </c>
    </row>
    <row r="2015" spans="2:11" x14ac:dyDescent="0.35">
      <c r="B2015" s="5" t="str">
        <f t="shared" si="1250"/>
        <v>SPS4</v>
      </c>
      <c r="C2015" s="5" t="str">
        <f t="shared" si="1264"/>
        <v>CH</v>
      </c>
      <c r="D2015" t="s">
        <v>2142</v>
      </c>
      <c r="E2015" t="s">
        <v>2000</v>
      </c>
      <c r="F2015" s="1" cm="1">
        <f t="array" ref="F2015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15" s="1" cm="1">
        <f t="array" ref="G2015">(SUMPRODUCT(("Var_Cap"=[1]OUT_TransportEnergyCons!$B$4:$B$10000)*1,("-"=[1]OUT_TransportEnergyCons!$C$4:$C$10000)*1,ISNUMBER(SEARCH("tfh*hyb*DSL*",[1]OUT_TransportEnergyCons!$A$4:$A$10000))*1,[1]OUT_TransportEnergyCons!E$4:E$10000))*1000</f>
        <v>3.5634009869081198</v>
      </c>
      <c r="H2015" s="1" cm="1">
        <f t="array" ref="H2015">(SUMPRODUCT(("Var_Cap"=[1]OUT_TransportEnergyCons!$B$4:$B$10000)*1,("-"=[1]OUT_TransportEnergyCons!$C$4:$C$10000)*1,ISNUMBER(SEARCH("tfh*hyb*DSL*",[1]OUT_TransportEnergyCons!$A$4:$A$10000))*1,[1]OUT_TransportEnergyCons!F$4:F$10000))*1000</f>
        <v>12.862729663728201</v>
      </c>
      <c r="I2015" s="1" cm="1">
        <f t="array" ref="I2015">(SUMPRODUCT(("Var_Cap"=[1]OUT_TransportEnergyCons!$B$4:$B$10000)*1,("-"=[1]OUT_TransportEnergyCons!$C$4:$C$10000)*1,ISNUMBER(SEARCH("tfh*hyb*DSL*",[1]OUT_TransportEnergyCons!$A$4:$A$10000))*1,[1]OUT_TransportEnergyCons!G$4:G$10000))*1000</f>
        <v>34.330439548783097</v>
      </c>
      <c r="J2015" s="1" cm="1">
        <f t="array" ref="J2015">(SUMPRODUCT(("Var_Cap"=[1]OUT_TransportEnergyCons!$B$4:$B$10000)*1,("-"=[1]OUT_TransportEnergyCons!$C$4:$C$10000)*1,ISNUMBER(SEARCH("tfh*hyb*DSL*",[1]OUT_TransportEnergyCons!$A$4:$A$10000))*1,[1]OUT_TransportEnergyCons!H$4:H$10000))*1000</f>
        <v>49.167155773472501</v>
      </c>
      <c r="K2015" s="1" cm="1">
        <f t="array" ref="K2015">(SUMPRODUCT(("Var_Cap"=[1]OUT_TransportEnergyCons!$B$4:$B$10000)*1,("-"=[1]OUT_TransportEnergyCons!$C$4:$C$10000)*1,ISNUMBER(SEARCH("tfh*hyb*DSL*",[1]OUT_TransportEnergyCons!$A$4:$A$10000))*1,[1]OUT_TransportEnergyCons!I$4:I$10000))*1000</f>
        <v>53.175600372668498</v>
      </c>
    </row>
    <row r="2016" spans="2:11" x14ac:dyDescent="0.35">
      <c r="B2016" s="5" t="str">
        <f t="shared" si="1250"/>
        <v>SPS4</v>
      </c>
      <c r="C2016" s="5" t="str">
        <f t="shared" si="1264"/>
        <v>CH</v>
      </c>
      <c r="D2016" t="s">
        <v>2143</v>
      </c>
      <c r="E2016" t="s">
        <v>2000</v>
      </c>
      <c r="F2016" s="1" cm="1">
        <f t="array" ref="F2016">(SUMPRODUCT(("Var_Cap"=[1]OUT_TransportEnergyCons!$B$4:$B$10000)*1,("-"=[1]OUT_TransportEnergyCons!$C$4:$C$10000)*1,ISNUMBER(SEARCH("tfh*ice*nga*",[1]OUT_TransportEnergyCons!$A$4:$A$10000))*1,[1]OUT_TransportEnergyCons!D$4:D$10000))*1000</f>
        <v>0.12153669716649219</v>
      </c>
      <c r="G2016" s="1" cm="1">
        <f t="array" ref="G2016">(SUMPRODUCT(("Var_Cap"=[1]OUT_TransportEnergyCons!$B$4:$B$10000)*1,("-"=[1]OUT_TransportEnergyCons!$C$4:$C$10000)*1,ISNUMBER(SEARCH("tfh*ice*nga*",[1]OUT_TransportEnergyCons!$A$4:$A$10000))*1,[1]OUT_TransportEnergyCons!E$4:E$10000))*1000</f>
        <v>8.838162907444885E-3</v>
      </c>
      <c r="H2016" s="1" cm="1">
        <f t="array" ref="H2016">(SUMPRODUCT(("Var_Cap"=[1]OUT_TransportEnergyCons!$B$4:$B$10000)*1,("-"=[1]OUT_TransportEnergyCons!$C$4:$C$10000)*1,ISNUMBER(SEARCH("tfh*ice*nga*",[1]OUT_TransportEnergyCons!$A$4:$A$10000))*1,[1]OUT_TransportEnergyCons!F$4:F$10000))*1000</f>
        <v>8.8576373322978037E-3</v>
      </c>
      <c r="I2016" s="1" cm="1">
        <f t="array" ref="I2016">(SUMPRODUCT(("Var_Cap"=[1]OUT_TransportEnergyCons!$B$4:$B$10000)*1,("-"=[1]OUT_TransportEnergyCons!$C$4:$C$10000)*1,ISNUMBER(SEARCH("tfh*ice*nga*",[1]OUT_TransportEnergyCons!$A$4:$A$10000))*1,[1]OUT_TransportEnergyCons!G$4:G$10000))*1000</f>
        <v>8.8720694619322509E-3</v>
      </c>
      <c r="J2016" s="1" cm="1">
        <f t="array" ref="J2016">(SUMPRODUCT(("Var_Cap"=[1]OUT_TransportEnergyCons!$B$4:$B$10000)*1,("-"=[1]OUT_TransportEnergyCons!$C$4:$C$10000)*1,ISNUMBER(SEARCH("tfh*ice*nga*",[1]OUT_TransportEnergyCons!$A$4:$A$10000))*1,[1]OUT_TransportEnergyCons!H$4:H$10000))*1000</f>
        <v>8.91058836878038E-3</v>
      </c>
      <c r="K2016" s="1" cm="1">
        <f t="array" ref="K2016">(SUMPRODUCT(("Var_Cap"=[1]OUT_TransportEnergyCons!$B$4:$B$10000)*1,("-"=[1]OUT_TransportEnergyCons!$C$4:$C$10000)*1,ISNUMBER(SEARCH("tfh*ice*nga*",[1]OUT_TransportEnergyCons!$A$4:$A$10000))*1,[1]OUT_TransportEnergyCons!I$4:I$10000))*1000</f>
        <v>8.9175140494337293E-3</v>
      </c>
    </row>
    <row r="2017" spans="2:11" x14ac:dyDescent="0.35">
      <c r="B2017" s="5" t="str">
        <f t="shared" si="1250"/>
        <v>SPS4</v>
      </c>
      <c r="C2017" s="5" t="str">
        <f>C2016</f>
        <v>CH</v>
      </c>
      <c r="D2017" s="2" t="s">
        <v>2144</v>
      </c>
      <c r="E2017" s="2" t="s">
        <v>2155</v>
      </c>
      <c r="F2017" s="3">
        <f t="shared" ref="F2017" si="1265">SUM(F2018,F2022,F2025)</f>
        <v>2.6845973479292098E-4</v>
      </c>
      <c r="G2017" s="3">
        <f t="shared" ref="G2017" si="1266">SUM(G2018,G2022,G2025)</f>
        <v>3.3797878094351023E-4</v>
      </c>
      <c r="H2017" s="3">
        <f t="shared" ref="H2017" si="1267">SUM(H2018,H2022,H2025)</f>
        <v>4.6839281676562923E-4</v>
      </c>
      <c r="I2017" s="3">
        <f t="shared" ref="I2017" si="1268">SUM(I2018,I2022,I2025)</f>
        <v>1.2093835359193721E-3</v>
      </c>
      <c r="J2017" s="3">
        <f t="shared" ref="J2017" si="1269">SUM(J2018,J2022,J2025)</f>
        <v>3.0248801603085698E-2</v>
      </c>
      <c r="K2017" s="3">
        <f t="shared" ref="K2017" si="1270">SUM(K2018,K2022,K2025)</f>
        <v>3.0370626404894567E-2</v>
      </c>
    </row>
    <row r="2018" spans="2:11" x14ac:dyDescent="0.35">
      <c r="B2018" s="5" t="str">
        <f t="shared" si="1250"/>
        <v>SPS4</v>
      </c>
      <c r="C2018" s="5" t="str">
        <f t="shared" ref="C2018:C2027" si="1271">C2017</f>
        <v>CH</v>
      </c>
      <c r="D2018" t="s">
        <v>2145</v>
      </c>
      <c r="E2018" t="s">
        <v>2155</v>
      </c>
      <c r="F2018" s="1" cm="1">
        <f t="array" ref="F2018">SUMPRODUCT(ISNUMBER(SEARCH("SUP_ELCH2*",[1]OUT_SyntheticFuels!$C$4:$C$1000))*1,("Var_cap"=[1]OUT_SyntheticFuels!$B$4:$B$1000)*1,[1]OUT_SyntheticFuels!E$4:E$1000)</f>
        <v>2.6845973479292098E-4</v>
      </c>
      <c r="G2018" s="1" cm="1">
        <f t="array" ref="G2018">SUMPRODUCT(ISNUMBER(SEARCH("SUP_ELCH2*",[1]OUT_SyntheticFuels!$C$4:$C$1000))*1,("Var_cap"=[1]OUT_SyntheticFuels!$B$4:$B$1000)*1,[1]OUT_SyntheticFuels!F$4:F$1000)</f>
        <v>3.3797878094351023E-4</v>
      </c>
      <c r="H2018" s="1" cm="1">
        <f t="array" ref="H2018">SUMPRODUCT(ISNUMBER(SEARCH("SUP_ELCH2*",[1]OUT_SyntheticFuels!$C$4:$C$1000))*1,("Var_cap"=[1]OUT_SyntheticFuels!$B$4:$B$1000)*1,[1]OUT_SyntheticFuels!G$4:G$1000)</f>
        <v>4.6839281676562923E-4</v>
      </c>
      <c r="I2018" s="1" cm="1">
        <f t="array" ref="I2018">SUMPRODUCT(ISNUMBER(SEARCH("SUP_ELCH2*",[1]OUT_SyntheticFuels!$C$4:$C$1000))*1,("Var_cap"=[1]OUT_SyntheticFuels!$B$4:$B$1000)*1,[1]OUT_SyntheticFuels!H$4:H$1000)</f>
        <v>1.2090213442961112E-3</v>
      </c>
      <c r="J2018" s="1" cm="1">
        <f t="array" ref="J2018">SUMPRODUCT(ISNUMBER(SEARCH("SUP_ELCH2*",[1]OUT_SyntheticFuels!$C$4:$C$1000))*1,("Var_cap"=[1]OUT_SyntheticFuels!$B$4:$B$1000)*1,[1]OUT_SyntheticFuels!I$4:I$1000)</f>
        <v>3.0247566815271718E-2</v>
      </c>
      <c r="K2018" s="1" cm="1">
        <f t="array" ref="K2018">SUMPRODUCT(ISNUMBER(SEARCH("SUP_ELCH2*",[1]OUT_SyntheticFuels!$C$4:$C$1000))*1,("Var_cap"=[1]OUT_SyntheticFuels!$B$4:$B$1000)*1,[1]OUT_SyntheticFuels!J$4:J$1000)</f>
        <v>3.0259988313734325E-2</v>
      </c>
    </row>
    <row r="2019" spans="2:11" x14ac:dyDescent="0.35">
      <c r="B2019" s="5" t="str">
        <f t="shared" si="1250"/>
        <v>SPS4</v>
      </c>
      <c r="C2019" s="5" t="str">
        <f t="shared" si="1271"/>
        <v>CH</v>
      </c>
      <c r="D2019" t="s">
        <v>2146</v>
      </c>
      <c r="E2019" t="s">
        <v>2155</v>
      </c>
      <c r="F2019" s="1">
        <f t="shared" ref="F2019" si="1272">F2018-F2020-F2021</f>
        <v>2.6845973479292098E-4</v>
      </c>
      <c r="G2019" s="1">
        <f t="shared" ref="G2019" si="1273">G2018-G2020-G2021</f>
        <v>3.3797878094351023E-4</v>
      </c>
      <c r="H2019" s="1">
        <f t="shared" ref="H2019" si="1274">H2018-H2020-H2021</f>
        <v>4.6839281676562923E-4</v>
      </c>
      <c r="I2019" s="1">
        <f t="shared" ref="I2019" si="1275">I2018-I2020-I2021</f>
        <v>1.2032626813355744E-3</v>
      </c>
      <c r="J2019" s="1">
        <f t="shared" ref="J2019" si="1276">J2018-J2020-J2021</f>
        <v>2.9865556690653848E-2</v>
      </c>
      <c r="K2019" s="1">
        <f t="shared" ref="K2019" si="1277">K2018-K2020-K2021</f>
        <v>2.9855236803864288E-2</v>
      </c>
    </row>
    <row r="2020" spans="2:11" x14ac:dyDescent="0.35">
      <c r="B2020" s="5" t="str">
        <f t="shared" si="1250"/>
        <v>SPS4</v>
      </c>
      <c r="C2020" s="5" t="str">
        <f t="shared" si="1271"/>
        <v>CH</v>
      </c>
      <c r="D2020" t="s">
        <v>2147</v>
      </c>
      <c r="E2020" t="s">
        <v>2155</v>
      </c>
      <c r="F2020" s="1" cm="1">
        <f t="array" ref="F2020">SUMPRODUCT(ISNUMBER(SEARCH("SUP_ELCH2*D",[1]OUT_SyntheticFuels!$C$4:$C$1000))*1,("Var_cap"=[1]OUT_SyntheticFuels!$B$4:$B$1000)*1,[1]OUT_SyntheticFuels!E$4:E$1000)</f>
        <v>0</v>
      </c>
      <c r="G2020" s="1" cm="1">
        <f t="array" ref="G2020">SUMPRODUCT(ISNUMBER(SEARCH("SUP_ELCH2*D",[1]OUT_SyntheticFuels!$C$4:$C$1000))*1,("Var_cap"=[1]OUT_SyntheticFuels!$B$4:$B$1000)*1,[1]OUT_SyntheticFuels!F$4:F$1000)</f>
        <v>0</v>
      </c>
      <c r="H2020" s="1" cm="1">
        <f t="array" ref="H2020">SUMPRODUCT(ISNUMBER(SEARCH("SUP_ELCH2*D",[1]OUT_SyntheticFuels!$C$4:$C$1000))*1,("Var_cap"=[1]OUT_SyntheticFuels!$B$4:$B$1000)*1,[1]OUT_SyntheticFuels!G$4:G$1000)</f>
        <v>0</v>
      </c>
      <c r="I2020" s="1" cm="1">
        <f t="array" ref="I2020">SUMPRODUCT(ISNUMBER(SEARCH("SUP_ELCH2*D",[1]OUT_SyntheticFuels!$C$4:$C$1000))*1,("Var_cap"=[1]OUT_SyntheticFuels!$B$4:$B$1000)*1,[1]OUT_SyntheticFuels!H$4:H$1000)</f>
        <v>5.7586629605368401E-6</v>
      </c>
      <c r="J2020" s="1" cm="1">
        <f t="array" ref="J2020">SUMPRODUCT(ISNUMBER(SEARCH("SUP_ELCH2*D",[1]OUT_SyntheticFuels!$C$4:$C$1000))*1,("Var_cap"=[1]OUT_SyntheticFuels!$B$4:$B$1000)*1,[1]OUT_SyntheticFuels!I$4:I$1000)</f>
        <v>1.6055322622099901E-4</v>
      </c>
      <c r="K2020" s="1" cm="1">
        <f t="array" ref="K2020">SUMPRODUCT(ISNUMBER(SEARCH("SUP_ELCH2*D",[1]OUT_SyntheticFuels!$C$4:$C$1000))*1,("Var_cap"=[1]OUT_SyntheticFuels!$B$4:$B$1000)*1,[1]OUT_SyntheticFuels!J$4:J$1000)</f>
        <v>1.9952790580108501E-4</v>
      </c>
    </row>
    <row r="2021" spans="2:11" x14ac:dyDescent="0.35">
      <c r="B2021" s="5" t="str">
        <f t="shared" si="1250"/>
        <v>SPS4</v>
      </c>
      <c r="C2021" s="5" t="str">
        <f t="shared" si="1271"/>
        <v>CH</v>
      </c>
      <c r="D2021" t="s">
        <v>2148</v>
      </c>
      <c r="E2021" t="s">
        <v>2155</v>
      </c>
      <c r="F2021" s="1" cm="1">
        <f t="array" ref="F2021">SUMPRODUCT(ISNUMBER(SEARCH("SUP_ELCH2*SOEC*",[1]OUT_SyntheticFuels!$C$4:$C$1000))*1,("Var_cap"=[1]OUT_SyntheticFuels!$B$4:$B$1000)*1,[1]OUT_SyntheticFuels!E$4:E$1000)</f>
        <v>0</v>
      </c>
      <c r="G2021" s="1" cm="1">
        <f t="array" ref="G2021">SUMPRODUCT(ISNUMBER(SEARCH("SUP_ELCH2*SOEC*",[1]OUT_SyntheticFuels!$C$4:$C$1000))*1,("Var_cap"=[1]OUT_SyntheticFuels!$B$4:$B$1000)*1,[1]OUT_SyntheticFuels!F$4:F$1000)</f>
        <v>0</v>
      </c>
      <c r="H2021" s="1" cm="1">
        <f t="array" ref="H2021">SUMPRODUCT(ISNUMBER(SEARCH("SUP_ELCH2*SOEC*",[1]OUT_SyntheticFuels!$C$4:$C$1000))*1,("Var_cap"=[1]OUT_SyntheticFuels!$B$4:$B$1000)*1,[1]OUT_SyntheticFuels!G$4:G$1000)</f>
        <v>0</v>
      </c>
      <c r="I2021" s="1" cm="1">
        <f t="array" ref="I2021">SUMPRODUCT(ISNUMBER(SEARCH("SUP_ELCH2*SOEC*",[1]OUT_SyntheticFuels!$C$4:$C$1000))*1,("Var_cap"=[1]OUT_SyntheticFuels!$B$4:$B$1000)*1,[1]OUT_SyntheticFuels!H$4:H$1000)</f>
        <v>0</v>
      </c>
      <c r="J2021" s="1" cm="1">
        <f t="array" ref="J2021">SUMPRODUCT(ISNUMBER(SEARCH("SUP_ELCH2*SOEC*",[1]OUT_SyntheticFuels!$C$4:$C$1000))*1,("Var_cap"=[1]OUT_SyntheticFuels!$B$4:$B$1000)*1,[1]OUT_SyntheticFuels!I$4:I$1000)</f>
        <v>2.21456898396871E-4</v>
      </c>
      <c r="K2021" s="1" cm="1">
        <f t="array" ref="K2021">SUMPRODUCT(ISNUMBER(SEARCH("SUP_ELCH2*SOEC*",[1]OUT_SyntheticFuels!$C$4:$C$1000))*1,("Var_cap"=[1]OUT_SyntheticFuels!$B$4:$B$1000)*1,[1]OUT_SyntheticFuels!J$4:J$1000)</f>
        <v>2.0522360406895098E-4</v>
      </c>
    </row>
    <row r="2022" spans="2:11" x14ac:dyDescent="0.35">
      <c r="B2022" s="5" t="str">
        <f t="shared" si="1250"/>
        <v>SPS4</v>
      </c>
      <c r="C2022" s="5" t="str">
        <f t="shared" si="1271"/>
        <v>CH</v>
      </c>
      <c r="D2022" t="s">
        <v>2149</v>
      </c>
      <c r="E2022" t="s">
        <v>2155</v>
      </c>
      <c r="F2022" s="1">
        <f t="shared" ref="F2022" si="1278">SUM(F2023:F2024)</f>
        <v>0</v>
      </c>
      <c r="G2022" s="1">
        <f t="shared" ref="G2022" si="1279">SUM(G2023:G2024)</f>
        <v>0</v>
      </c>
      <c r="H2022" s="1">
        <f t="shared" ref="H2022" si="1280">SUM(H2023:H2024)</f>
        <v>0</v>
      </c>
      <c r="I2022" s="1">
        <f t="shared" ref="I2022" si="1281">SUM(I2023:I2024)</f>
        <v>3.6219162326104798E-7</v>
      </c>
      <c r="J2022" s="1">
        <f t="shared" ref="J2022" si="1282">SUM(J2023:J2024)</f>
        <v>1.2347878139790398E-6</v>
      </c>
      <c r="K2022" s="1">
        <f t="shared" ref="K2022" si="1283">SUM(K2023:K2024)</f>
        <v>8.3250062980448538E-5</v>
      </c>
    </row>
    <row r="2023" spans="2:11" x14ac:dyDescent="0.35">
      <c r="B2023" s="5" t="str">
        <f t="shared" si="1250"/>
        <v>SPS4</v>
      </c>
      <c r="C2023" s="5" t="str">
        <f t="shared" si="1271"/>
        <v>CH</v>
      </c>
      <c r="D2023" t="s">
        <v>2150</v>
      </c>
      <c r="E2023" t="s">
        <v>2155</v>
      </c>
      <c r="F2023" s="1" cm="1">
        <f t="array" ref="F2023">SUMPRODUCT(ISNUMBER(SEARCH("SUP_NGAH2",[1]OUT_SyntheticFuels!$C$4:$C$1000))*1,("Var_cap"=[1]OUT_SyntheticFuels!$B$4:$B$1000)*1,[1]OUT_SyntheticFuels!E$4:E$1000)-F2024</f>
        <v>0</v>
      </c>
      <c r="G2023" s="1" cm="1">
        <f t="array" ref="G2023">SUMPRODUCT(ISNUMBER(SEARCH("SUP_NGAH2",[1]OUT_SyntheticFuels!$C$4:$C$1000))*1,("Var_cap"=[1]OUT_SyntheticFuels!$B$4:$B$1000)*1,[1]OUT_SyntheticFuels!F$4:F$1000)-G2024</f>
        <v>0</v>
      </c>
      <c r="H2023" s="1" cm="1">
        <f t="array" ref="H2023">SUMPRODUCT(ISNUMBER(SEARCH("SUP_NGAH2",[1]OUT_SyntheticFuels!$C$4:$C$1000))*1,("Var_cap"=[1]OUT_SyntheticFuels!$B$4:$B$1000)*1,[1]OUT_SyntheticFuels!G$4:G$1000)-H2024</f>
        <v>0</v>
      </c>
      <c r="I2023" s="1" cm="1">
        <f t="array" ref="I2023">SUMPRODUCT(ISNUMBER(SEARCH("SUP_NGAH2",[1]OUT_SyntheticFuels!$C$4:$C$1000))*1,("Var_cap"=[1]OUT_SyntheticFuels!$B$4:$B$1000)*1,[1]OUT_SyntheticFuels!H$4:H$1000)-I2024</f>
        <v>3.6219162326104798E-7</v>
      </c>
      <c r="J2023" s="1" cm="1">
        <f t="array" ref="J2023">SUMPRODUCT(ISNUMBER(SEARCH("SUP_NGAH2",[1]OUT_SyntheticFuels!$C$4:$C$1000))*1,("Var_cap"=[1]OUT_SyntheticFuels!$B$4:$B$1000)*1,[1]OUT_SyntheticFuels!I$4:I$1000)-J2024</f>
        <v>1.2347878139790398E-6</v>
      </c>
      <c r="K2023" s="1" cm="1">
        <f t="array" ref="K2023">SUMPRODUCT(ISNUMBER(SEARCH("SUP_NGAH2",[1]OUT_SyntheticFuels!$C$4:$C$1000))*1,("Var_cap"=[1]OUT_SyntheticFuels!$B$4:$B$1000)*1,[1]OUT_SyntheticFuels!J$4:J$1000)-K2024</f>
        <v>8.3250062980448538E-5</v>
      </c>
    </row>
    <row r="2024" spans="2:11" x14ac:dyDescent="0.35">
      <c r="B2024" s="5" t="str">
        <f t="shared" si="1250"/>
        <v>SPS4</v>
      </c>
      <c r="C2024" s="5" t="str">
        <f t="shared" si="1271"/>
        <v>CH</v>
      </c>
      <c r="D2024" t="s">
        <v>2151</v>
      </c>
      <c r="E2024" t="s">
        <v>2155</v>
      </c>
      <c r="F2024" s="1" cm="1">
        <f t="array" ref="F2024">SUMPRODUCT(ISNUMBER(SEARCH("SUP_NGAH2CCS",[1]OUT_SyntheticFuels!$C$4:$C$1000))*1,("Var_cap"=[1]OUT_SyntheticFuels!$B$4:$B$1000)*1,[1]OUT_SyntheticFuels!E$4:E$1000)</f>
        <v>0</v>
      </c>
      <c r="G2024" s="1" cm="1">
        <f t="array" ref="G2024">SUMPRODUCT(ISNUMBER(SEARCH("SUP_NGAH2CCS",[1]OUT_SyntheticFuels!$C$4:$C$1000))*1,("Var_cap"=[1]OUT_SyntheticFuels!$B$4:$B$1000)*1,[1]OUT_SyntheticFuels!F$4:F$1000)</f>
        <v>0</v>
      </c>
      <c r="H2024" s="1" cm="1">
        <f t="array" ref="H2024">SUMPRODUCT(ISNUMBER(SEARCH("SUP_NGAH2CCS",[1]OUT_SyntheticFuels!$C$4:$C$1000))*1,("Var_cap"=[1]OUT_SyntheticFuels!$B$4:$B$1000)*1,[1]OUT_SyntheticFuels!G$4:G$1000)</f>
        <v>0</v>
      </c>
      <c r="I2024" s="1" cm="1">
        <f t="array" ref="I2024">SUMPRODUCT(ISNUMBER(SEARCH("SUP_NGAH2CCS",[1]OUT_SyntheticFuels!$C$4:$C$1000))*1,("Var_cap"=[1]OUT_SyntheticFuels!$B$4:$B$1000)*1,[1]OUT_SyntheticFuels!H$4:H$1000)</f>
        <v>0</v>
      </c>
      <c r="J2024" s="1" cm="1">
        <f t="array" ref="J2024">SUMPRODUCT(ISNUMBER(SEARCH("SUP_NGAH2CCS",[1]OUT_SyntheticFuels!$C$4:$C$1000))*1,("Var_cap"=[1]OUT_SyntheticFuels!$B$4:$B$1000)*1,[1]OUT_SyntheticFuels!I$4:I$1000)</f>
        <v>0</v>
      </c>
      <c r="K2024" s="1" cm="1">
        <f t="array" ref="K2024">SUMPRODUCT(ISNUMBER(SEARCH("SUP_NGAH2CCS",[1]OUT_SyntheticFuels!$C$4:$C$1000))*1,("Var_cap"=[1]OUT_SyntheticFuels!$B$4:$B$1000)*1,[1]OUT_SyntheticFuels!J$4:J$1000)</f>
        <v>0</v>
      </c>
    </row>
    <row r="2025" spans="2:11" x14ac:dyDescent="0.35">
      <c r="B2025" s="5" t="str">
        <f t="shared" si="1250"/>
        <v>SPS4</v>
      </c>
      <c r="C2025" s="5" t="str">
        <f t="shared" si="1271"/>
        <v>CH</v>
      </c>
      <c r="D2025" t="s">
        <v>2152</v>
      </c>
      <c r="E2025" t="s">
        <v>2155</v>
      </c>
      <c r="F2025" s="1">
        <f t="shared" ref="F2025" si="1284">SUM(F2026:F2027)</f>
        <v>0</v>
      </c>
      <c r="G2025" s="1">
        <f t="shared" ref="G2025" si="1285">SUM(G2026:G2027)</f>
        <v>0</v>
      </c>
      <c r="H2025" s="1">
        <f t="shared" ref="H2025" si="1286">SUM(H2026:H2027)</f>
        <v>0</v>
      </c>
      <c r="I2025" s="1">
        <f t="shared" ref="I2025" si="1287">SUM(I2026:I2027)</f>
        <v>0</v>
      </c>
      <c r="J2025" s="1">
        <f t="shared" ref="J2025" si="1288">SUM(J2026:J2027)</f>
        <v>0</v>
      </c>
      <c r="K2025" s="1">
        <f t="shared" ref="K2025" si="1289">SUM(K2026:K2027)</f>
        <v>2.7388028179794201E-5</v>
      </c>
    </row>
    <row r="2026" spans="2:11" x14ac:dyDescent="0.35">
      <c r="B2026" s="5" t="str">
        <f t="shared" si="1250"/>
        <v>SPS4</v>
      </c>
      <c r="C2026" s="5" t="str">
        <f t="shared" si="1271"/>
        <v>CH</v>
      </c>
      <c r="D2026" t="s">
        <v>2153</v>
      </c>
      <c r="E2026" t="s">
        <v>2155</v>
      </c>
      <c r="F2026" s="1" cm="1">
        <f t="array" ref="F2026">SUMPRODUCT(ISNUMBER(SEARCH("SUP_WODH2",[1]OUT_SyntheticFuels!$C$4:$C$1000))*1,("Var_cap"=[1]OUT_SyntheticFuels!$B$4:$B$1000)*1,[1]OUT_SyntheticFuels!E$4:E$1000)-F2027</f>
        <v>0</v>
      </c>
      <c r="G2026" s="1" cm="1">
        <f t="array" ref="G2026">SUMPRODUCT(ISNUMBER(SEARCH("SUP_WODH2",[1]OUT_SyntheticFuels!$C$4:$C$1000))*1,("Var_cap"=[1]OUT_SyntheticFuels!$B$4:$B$1000)*1,[1]OUT_SyntheticFuels!F$4:F$1000)-G2027</f>
        <v>0</v>
      </c>
      <c r="H2026" s="1" cm="1">
        <f t="array" ref="H2026">SUMPRODUCT(ISNUMBER(SEARCH("SUP_WODH2",[1]OUT_SyntheticFuels!$C$4:$C$1000))*1,("Var_cap"=[1]OUT_SyntheticFuels!$B$4:$B$1000)*1,[1]OUT_SyntheticFuels!G$4:G$1000)-H2027</f>
        <v>0</v>
      </c>
      <c r="I2026" s="1" cm="1">
        <f t="array" ref="I2026">SUMPRODUCT(ISNUMBER(SEARCH("SUP_WODH2",[1]OUT_SyntheticFuels!$C$4:$C$1000))*1,("Var_cap"=[1]OUT_SyntheticFuels!$B$4:$B$1000)*1,[1]OUT_SyntheticFuels!H$4:H$1000)-I2027</f>
        <v>0</v>
      </c>
      <c r="J2026" s="1" cm="1">
        <f t="array" ref="J2026">SUMPRODUCT(ISNUMBER(SEARCH("SUP_WODH2",[1]OUT_SyntheticFuels!$C$4:$C$1000))*1,("Var_cap"=[1]OUT_SyntheticFuels!$B$4:$B$1000)*1,[1]OUT_SyntheticFuels!I$4:I$1000)-J2027</f>
        <v>0</v>
      </c>
      <c r="K2026" s="1" cm="1">
        <f t="array" ref="K2026">SUMPRODUCT(ISNUMBER(SEARCH("SUP_WODH2",[1]OUT_SyntheticFuels!$C$4:$C$1000))*1,("Var_cap"=[1]OUT_SyntheticFuels!$B$4:$B$1000)*1,[1]OUT_SyntheticFuels!J$4:J$1000)-K2027</f>
        <v>2.7388028179794201E-5</v>
      </c>
    </row>
    <row r="2027" spans="2:11" x14ac:dyDescent="0.35">
      <c r="B2027" s="5" t="str">
        <f t="shared" si="1250"/>
        <v>SPS4</v>
      </c>
      <c r="C2027" s="5" t="str">
        <f t="shared" si="1271"/>
        <v>CH</v>
      </c>
      <c r="D2027" t="s">
        <v>2154</v>
      </c>
      <c r="E2027" t="s">
        <v>2155</v>
      </c>
      <c r="F2027" s="1" cm="1">
        <f t="array" ref="F2027">SUMPRODUCT(ISNUMBER(SEARCH("SUP_WODH2CCS",[1]OUT_SyntheticFuels!$C$4:$C$1000))*1,("Var_cap"=[1]OUT_SyntheticFuels!$B$4:$B$1000)*1,[1]OUT_SyntheticFuels!E$4:E$1000)</f>
        <v>0</v>
      </c>
      <c r="G2027" s="1" cm="1">
        <f t="array" ref="G2027">SUMPRODUCT(ISNUMBER(SEARCH("SUP_WODH2CCS",[1]OUT_SyntheticFuels!$C$4:$C$1000))*1,("Var_cap"=[1]OUT_SyntheticFuels!$B$4:$B$1000)*1,[1]OUT_SyntheticFuels!F$4:F$1000)</f>
        <v>0</v>
      </c>
      <c r="H2027" s="1" cm="1">
        <f t="array" ref="H2027">SUMPRODUCT(ISNUMBER(SEARCH("SUP_WODH2CCS",[1]OUT_SyntheticFuels!$C$4:$C$1000))*1,("Var_cap"=[1]OUT_SyntheticFuels!$B$4:$B$1000)*1,[1]OUT_SyntheticFuels!G$4:G$1000)</f>
        <v>0</v>
      </c>
      <c r="I2027" s="1" cm="1">
        <f t="array" ref="I2027">SUMPRODUCT(ISNUMBER(SEARCH("SUP_WODH2CCS",[1]OUT_SyntheticFuels!$C$4:$C$1000))*1,("Var_cap"=[1]OUT_SyntheticFuels!$B$4:$B$1000)*1,[1]OUT_SyntheticFuels!H$4:H$1000)</f>
        <v>0</v>
      </c>
      <c r="J2027" s="1" cm="1">
        <f t="array" ref="J2027">SUMPRODUCT(ISNUMBER(SEARCH("SUP_WODH2CCS",[1]OUT_SyntheticFuels!$C$4:$C$1000))*1,("Var_cap"=[1]OUT_SyntheticFuels!$B$4:$B$1000)*1,[1]OUT_SyntheticFuels!I$4:I$1000)</f>
        <v>0</v>
      </c>
      <c r="K2027" s="1" cm="1">
        <f t="array" ref="K2027">SUMPRODUCT(ISNUMBER(SEARCH("SUP_WODH2CCS",[1]OUT_SyntheticFuels!$C$4:$C$1000))*1,("Var_cap"=[1]OUT_SyntheticFuels!$B$4:$B$1000)*1,[1]OUT_SyntheticFuels!J$4:J$1000)</f>
        <v>0</v>
      </c>
    </row>
    <row r="2028" spans="2:11" x14ac:dyDescent="0.35">
      <c r="B2028" s="5" t="str">
        <f t="shared" si="1250"/>
        <v>SPS4</v>
      </c>
      <c r="C2028" s="5" t="str">
        <f>C2027</f>
        <v>CH</v>
      </c>
      <c r="D2028" s="2" t="s">
        <v>2159</v>
      </c>
      <c r="E2028" s="2" t="s">
        <v>2157</v>
      </c>
    </row>
    <row r="2029" spans="2:11" x14ac:dyDescent="0.35">
      <c r="B2029" s="5" t="str">
        <f t="shared" si="1250"/>
        <v>SPS4</v>
      </c>
      <c r="C2029" s="5" t="str">
        <f t="shared" ref="C2029:C2092" si="1290">C2028</f>
        <v>CH</v>
      </c>
      <c r="D2029" t="s">
        <v>2163</v>
      </c>
      <c r="E2029" t="s">
        <v>2157</v>
      </c>
      <c r="F2029" s="7" cm="1">
        <f t="array" ref="F2029">SUMPRODUCT(("CT_CWODBDS"=[1]OUT_SyntheticFuels!$C$4:$C$1000)*1,("Var_cap"=[1]OUT_SyntheticFuels!$B$4:$B$1000)*1,[1]OUT_SyntheticFuels!E$4:E$1000)</f>
        <v>6.2410980437956759E-2</v>
      </c>
      <c r="G2029" s="7" cm="1">
        <f t="array" ref="G2029">SUMPRODUCT(("CT_CWODBDS"=[1]OUT_SyntheticFuels!$C$4:$C$1000)*1,("Var_cap"=[1]OUT_SyntheticFuels!$B$4:$B$1000)*1,[1]OUT_SyntheticFuels!F$4:F$1000)</f>
        <v>6.2410141094812931E-2</v>
      </c>
      <c r="H2029" s="7" cm="1">
        <f t="array" ref="H2029">SUMPRODUCT(("CT_CWODBDS"=[1]OUT_SyntheticFuels!$C$4:$C$1000)*1,("Var_cap"=[1]OUT_SyntheticFuels!$B$4:$B$1000)*1,[1]OUT_SyntheticFuels!G$4:G$1000)</f>
        <v>6.2409901853999361E-2</v>
      </c>
      <c r="I2029" s="7" cm="1">
        <f t="array" ref="I2029">SUMPRODUCT(("CT_CWODBDS"=[1]OUT_SyntheticFuels!$C$4:$C$1000)*1,("Var_cap"=[1]OUT_SyntheticFuels!$B$4:$B$1000)*1,[1]OUT_SyntheticFuels!H$4:H$1000)</f>
        <v>4.1633201604086845E-5</v>
      </c>
      <c r="J2029" s="7" cm="1">
        <f t="array" ref="J2029">SUMPRODUCT(("CT_CWODBDS"=[1]OUT_SyntheticFuels!$C$4:$C$1000)*1,("Var_cap"=[1]OUT_SyntheticFuels!$B$4:$B$1000)*1,[1]OUT_SyntheticFuels!I$4:I$1000)</f>
        <v>2.0572936180705629E-5</v>
      </c>
      <c r="K2029" s="7" cm="1">
        <f t="array" ref="K2029">SUMPRODUCT(("CT_CWODBDS"=[1]OUT_SyntheticFuels!$C$4:$C$1000)*1,("Var_cap"=[1]OUT_SyntheticFuels!$B$4:$B$1000)*1,[1]OUT_SyntheticFuels!J$4:J$1000)</f>
        <v>1.7325909946827575E-5</v>
      </c>
    </row>
    <row r="2030" spans="2:11" x14ac:dyDescent="0.35">
      <c r="B2030" s="5" t="str">
        <f t="shared" si="1250"/>
        <v>SPS4</v>
      </c>
      <c r="C2030" s="5" t="str">
        <f t="shared" si="1290"/>
        <v>CH</v>
      </c>
      <c r="D2030" t="s">
        <v>2164</v>
      </c>
      <c r="E2030" t="s">
        <v>2157</v>
      </c>
      <c r="F2030" s="7" cm="1">
        <f t="array" ref="F2030">SUMPRODUCT(("CT_CWODBDSCCS"=[1]OUT_SyntheticFuels!$C$4:$C$1000)*1,("Var_cap"=[1]OUT_SyntheticFuels!$B$4:$B$1000)*1,[1]OUT_SyntheticFuels!E$4:E$1000)</f>
        <v>0</v>
      </c>
      <c r="G2030" s="7" cm="1">
        <f t="array" ref="G2030">SUMPRODUCT(("CT_CWODBDSCCS"=[1]OUT_SyntheticFuels!$C$4:$C$1000)*1,("Var_cap"=[1]OUT_SyntheticFuels!$B$4:$B$1000)*1,[1]OUT_SyntheticFuels!F$4:F$1000)</f>
        <v>0</v>
      </c>
      <c r="H2030" s="7" cm="1">
        <f t="array" ref="H2030">SUMPRODUCT(("CT_CWODBDSCCS"=[1]OUT_SyntheticFuels!$C$4:$C$1000)*1,("Var_cap"=[1]OUT_SyntheticFuels!$B$4:$B$1000)*1,[1]OUT_SyntheticFuels!G$4:G$1000)</f>
        <v>0</v>
      </c>
      <c r="I2030" s="7" cm="1">
        <f t="array" ref="I2030">SUMPRODUCT(("CT_CWODBDSCCS"=[1]OUT_SyntheticFuels!$C$4:$C$1000)*1,("Var_cap"=[1]OUT_SyntheticFuels!$B$4:$B$1000)*1,[1]OUT_SyntheticFuels!H$4:H$1000)</f>
        <v>0</v>
      </c>
      <c r="J2030" s="7" cm="1">
        <f t="array" ref="J2030">SUMPRODUCT(("CT_CWODBDSCCS"=[1]OUT_SyntheticFuels!$C$4:$C$1000)*1,("Var_cap"=[1]OUT_SyntheticFuels!$B$4:$B$1000)*1,[1]OUT_SyntheticFuels!I$4:I$1000)</f>
        <v>0</v>
      </c>
      <c r="K2030" s="7" cm="1">
        <f t="array" ref="K2030">SUMPRODUCT(("CT_CWODBDSCCS"=[1]OUT_SyntheticFuels!$C$4:$C$1000)*1,("Var_cap"=[1]OUT_SyntheticFuels!$B$4:$B$1000)*1,[1]OUT_SyntheticFuels!J$4:J$1000)</f>
        <v>0</v>
      </c>
    </row>
    <row r="2031" spans="2:11" x14ac:dyDescent="0.35">
      <c r="B2031" s="5" t="str">
        <f t="shared" si="1250"/>
        <v>SPS4</v>
      </c>
      <c r="C2031" s="5" t="str">
        <f t="shared" si="1290"/>
        <v>CH</v>
      </c>
      <c r="D2031" t="s">
        <v>2168</v>
      </c>
      <c r="E2031" t="s">
        <v>2157</v>
      </c>
      <c r="F2031" s="7" cm="1">
        <f t="array" ref="F2031">SUMPRODUCT(("CT_CWODETH"=[1]OUT_SyntheticFuels!$C$4:$C$1000)*1,("Var_cap"=[1]OUT_SyntheticFuels!$B$4:$B$1000)*1,[1]OUT_SyntheticFuels!E$4:E$1000)</f>
        <v>7.1502824247022482E-3</v>
      </c>
      <c r="G2031" s="7" cm="1">
        <f t="array" ref="G2031">SUMPRODUCT(("CT_CWODETH"=[1]OUT_SyntheticFuels!$C$4:$C$1000)*1,("Var_cap"=[1]OUT_SyntheticFuels!$B$4:$B$1000)*1,[1]OUT_SyntheticFuels!F$4:F$1000)</f>
        <v>7.1505989517786283E-3</v>
      </c>
      <c r="H2031" s="7" cm="1">
        <f t="array" ref="H2031">SUMPRODUCT(("CT_CWODETH"=[1]OUT_SyntheticFuels!$C$4:$C$1000)*1,("Var_cap"=[1]OUT_SyntheticFuels!$B$4:$B$1000)*1,[1]OUT_SyntheticFuels!G$4:G$1000)</f>
        <v>7.7163885196934075E-3</v>
      </c>
      <c r="I2031" s="7" cm="1">
        <f t="array" ref="I2031">SUMPRODUCT(("CT_CWODETH"=[1]OUT_SyntheticFuels!$C$4:$C$1000)*1,("Var_cap"=[1]OUT_SyntheticFuels!$B$4:$B$1000)*1,[1]OUT_SyntheticFuels!H$4:H$1000)</f>
        <v>2.8056769704500051E-5</v>
      </c>
      <c r="J2031" s="7" cm="1">
        <f t="array" ref="J2031">SUMPRODUCT(("CT_CWODETH"=[1]OUT_SyntheticFuels!$C$4:$C$1000)*1,("Var_cap"=[1]OUT_SyntheticFuels!$B$4:$B$1000)*1,[1]OUT_SyntheticFuels!I$4:I$1000)</f>
        <v>2.5131503438689893E-5</v>
      </c>
      <c r="K2031" s="7" cm="1">
        <f t="array" ref="K2031">SUMPRODUCT(("CT_CWODETH"=[1]OUT_SyntheticFuels!$C$4:$C$1000)*1,("Var_cap"=[1]OUT_SyntheticFuels!$B$4:$B$1000)*1,[1]OUT_SyntheticFuels!J$4:J$1000)</f>
        <v>1.1626954277124457E-5</v>
      </c>
    </row>
    <row r="2032" spans="2:11" x14ac:dyDescent="0.35">
      <c r="B2032" s="5" t="str">
        <f t="shared" si="1250"/>
        <v>SPS4</v>
      </c>
      <c r="C2032" s="5" t="str">
        <f t="shared" si="1290"/>
        <v>CH</v>
      </c>
      <c r="D2032" t="s">
        <v>2169</v>
      </c>
      <c r="E2032" t="s">
        <v>2157</v>
      </c>
      <c r="F2032" s="7" cm="1">
        <f t="array" ref="F2032">SUMPRODUCT(("CT_CWODETHCCS"=[1]OUT_SyntheticFuels!$C$4:$C$1000)*1,("Var_cap"=[1]OUT_SyntheticFuels!$B$4:$B$1000)*1,[1]OUT_SyntheticFuels!E$4:E$1000)</f>
        <v>0</v>
      </c>
      <c r="G2032" s="7" cm="1">
        <f t="array" ref="G2032">SUMPRODUCT(("CT_CWODETHCCS"=[1]OUT_SyntheticFuels!$C$4:$C$1000)*1,("Var_cap"=[1]OUT_SyntheticFuels!$B$4:$B$1000)*1,[1]OUT_SyntheticFuels!F$4:F$1000)</f>
        <v>0</v>
      </c>
      <c r="H2032" s="7" cm="1">
        <f t="array" ref="H2032">SUMPRODUCT(("CT_CWODETHCCS"=[1]OUT_SyntheticFuels!$C$4:$C$1000)*1,("Var_cap"=[1]OUT_SyntheticFuels!$B$4:$B$1000)*1,[1]OUT_SyntheticFuels!G$4:G$1000)</f>
        <v>0</v>
      </c>
      <c r="I2032" s="7" cm="1">
        <f t="array" ref="I2032">SUMPRODUCT(("CT_CWODETHCCS"=[1]OUT_SyntheticFuels!$C$4:$C$1000)*1,("Var_cap"=[1]OUT_SyntheticFuels!$B$4:$B$1000)*1,[1]OUT_SyntheticFuels!H$4:H$1000)</f>
        <v>0</v>
      </c>
      <c r="J2032" s="7" cm="1">
        <f t="array" ref="J2032">SUMPRODUCT(("CT_CWODETHCCS"=[1]OUT_SyntheticFuels!$C$4:$C$1000)*1,("Var_cap"=[1]OUT_SyntheticFuels!$B$4:$B$1000)*1,[1]OUT_SyntheticFuels!I$4:I$1000)</f>
        <v>0</v>
      </c>
      <c r="K2032" s="7" cm="1">
        <f t="array" ref="K2032">SUMPRODUCT(("CT_CWODETHCCS"=[1]OUT_SyntheticFuels!$C$4:$C$1000)*1,("Var_cap"=[1]OUT_SyntheticFuels!$B$4:$B$1000)*1,[1]OUT_SyntheticFuels!J$4:J$1000)</f>
        <v>0</v>
      </c>
    </row>
    <row r="2033" spans="2:11" x14ac:dyDescent="0.35">
      <c r="B2033" s="5" t="str">
        <f t="shared" si="1250"/>
        <v>SPS4</v>
      </c>
      <c r="C2033" s="5" t="str">
        <f t="shared" si="1290"/>
        <v>CH</v>
      </c>
      <c r="D2033" t="s">
        <v>2162</v>
      </c>
      <c r="E2033" t="s">
        <v>2157</v>
      </c>
      <c r="F2033" s="7" cm="1">
        <f t="array" ref="F2033">SUMPRODUCT(("SUP_MNRBIO"=[1]OUT_SyntheticFuels!$C$4:$C$1000)*1,("Var_cap"=[1]OUT_SyntheticFuels!$B$4:$B$1000)*1,[1]OUT_SyntheticFuels!E$4:E$1000)</f>
        <v>4.9851847967244303E-2</v>
      </c>
      <c r="G2033" s="7" cm="1">
        <f t="array" ref="G2033">SUMPRODUCT(("SUP_MNRBIO"=[1]OUT_SyntheticFuels!$C$4:$C$1000)*1,("Var_cap"=[1]OUT_SyntheticFuels!$B$4:$B$1000)*1,[1]OUT_SyntheticFuels!F$4:F$1000)</f>
        <v>0.13867250554080596</v>
      </c>
      <c r="H2033" s="7" cm="1">
        <f t="array" ref="H2033">SUMPRODUCT(("SUP_MNRBIO"=[1]OUT_SyntheticFuels!$C$4:$C$1000)*1,("Var_cap"=[1]OUT_SyntheticFuels!$B$4:$B$1000)*1,[1]OUT_SyntheticFuels!G$4:G$1000)</f>
        <v>0.16239611604602791</v>
      </c>
      <c r="I2033" s="7" cm="1">
        <f t="array" ref="I2033">SUMPRODUCT(("SUP_MNRBIO"=[1]OUT_SyntheticFuels!$C$4:$C$1000)*1,("Var_cap"=[1]OUT_SyntheticFuels!$B$4:$B$1000)*1,[1]OUT_SyntheticFuels!H$4:H$1000)</f>
        <v>0.16239974273502805</v>
      </c>
      <c r="J2033" s="7" cm="1">
        <f t="array" ref="J2033">SUMPRODUCT(("SUP_MNRBIO"=[1]OUT_SyntheticFuels!$C$4:$C$1000)*1,("Var_cap"=[1]OUT_SyntheticFuels!$B$4:$B$1000)*1,[1]OUT_SyntheticFuels!I$4:I$1000)</f>
        <v>0.18937899850829926</v>
      </c>
      <c r="K2033" s="7" cm="1">
        <f t="array" ref="K2033">SUMPRODUCT(("SUP_MNRBIO"=[1]OUT_SyntheticFuels!$C$4:$C$1000)*1,("Var_cap"=[1]OUT_SyntheticFuels!$B$4:$B$1000)*1,[1]OUT_SyntheticFuels!J$4:J$1000)</f>
        <v>0.24360737989548581</v>
      </c>
    </row>
    <row r="2034" spans="2:11" x14ac:dyDescent="0.35">
      <c r="B2034" s="5" t="str">
        <f t="shared" si="1250"/>
        <v>SPS4</v>
      </c>
      <c r="C2034" s="5" t="str">
        <f t="shared" si="1290"/>
        <v>CH</v>
      </c>
      <c r="D2034" t="s">
        <v>2158</v>
      </c>
      <c r="E2034" t="s">
        <v>2157</v>
      </c>
      <c r="F2034" s="7" cm="1">
        <f t="array" ref="F2034">SUMPRODUCT(("SUP_WSTBIO"=[1]OUT_SyntheticFuels!$C$4:$C$1000)*1,("Var_cap"=[1]OUT_SyntheticFuels!$B$4:$B$1000)*1,[1]OUT_SyntheticFuels!E$4:E$1000)</f>
        <v>0.21266828890725623</v>
      </c>
      <c r="G2034" s="7" cm="1">
        <f t="array" ref="G2034">SUMPRODUCT(("SUP_WSTBIO"=[1]OUT_SyntheticFuels!$C$4:$C$1000)*1,("Var_cap"=[1]OUT_SyntheticFuels!$B$4:$B$1000)*1,[1]OUT_SyntheticFuels!F$4:F$1000)</f>
        <v>0.23565202024441026</v>
      </c>
      <c r="H2034" s="7" cm="1">
        <f t="array" ref="H2034">SUMPRODUCT(("SUP_WSTBIO"=[1]OUT_SyntheticFuels!$C$4:$C$1000)*1,("Var_cap"=[1]OUT_SyntheticFuels!$B$4:$B$1000)*1,[1]OUT_SyntheticFuels!G$4:G$1000)</f>
        <v>0.23564940385982105</v>
      </c>
      <c r="I2034" s="7" cm="1">
        <f t="array" ref="I2034">SUMPRODUCT(("SUP_WSTBIO"=[1]OUT_SyntheticFuels!$C$4:$C$1000)*1,("Var_cap"=[1]OUT_SyntheticFuels!$B$4:$B$1000)*1,[1]OUT_SyntheticFuels!H$4:H$1000)</f>
        <v>0.23491636996492285</v>
      </c>
      <c r="J2034" s="7" cm="1">
        <f t="array" ref="J2034">SUMPRODUCT(("SUP_WSTBIO"=[1]OUT_SyntheticFuels!$C$4:$C$1000)*1,("Var_cap"=[1]OUT_SyntheticFuels!$B$4:$B$1000)*1,[1]OUT_SyntheticFuels!I$4:I$1000)</f>
        <v>0.22856750319213043</v>
      </c>
      <c r="K2034" s="7" cm="1">
        <f t="array" ref="K2034">SUMPRODUCT(("SUP_WSTBIO"=[1]OUT_SyntheticFuels!$C$4:$C$1000)*1,("Var_cap"=[1]OUT_SyntheticFuels!$B$4:$B$1000)*1,[1]OUT_SyntheticFuels!J$4:J$1000)</f>
        <v>0.32750871525709846</v>
      </c>
    </row>
    <row r="2035" spans="2:11" x14ac:dyDescent="0.35">
      <c r="B2035" s="5" t="str">
        <f t="shared" si="1250"/>
        <v>SPS4</v>
      </c>
      <c r="C2035" s="5" t="str">
        <f t="shared" si="1290"/>
        <v>CH</v>
      </c>
      <c r="D2035" t="s">
        <v>2170</v>
      </c>
      <c r="E2035" t="s">
        <v>2157</v>
      </c>
      <c r="F2035" s="7" cm="1">
        <f t="array" ref="F2035">SUMPRODUCT(("SUP_WSTBIOCCS"=[1]OUT_SyntheticFuels!$C$4:$C$1000)*1,("Var_cap"=[1]OUT_SyntheticFuels!$B$4:$B$1000)*1,[1]OUT_SyntheticFuels!E$4:E$1000)</f>
        <v>0</v>
      </c>
      <c r="G2035" s="7" cm="1">
        <f t="array" ref="G2035">SUMPRODUCT(("SUP_WSTBIOCCS"=[1]OUT_SyntheticFuels!$C$4:$C$1000)*1,("Var_cap"=[1]OUT_SyntheticFuels!$B$4:$B$1000)*1,[1]OUT_SyntheticFuels!F$4:F$1000)</f>
        <v>0</v>
      </c>
      <c r="H2035" s="7" cm="1">
        <f t="array" ref="H2035">SUMPRODUCT(("SUP_WSTBIOCCS"=[1]OUT_SyntheticFuels!$C$4:$C$1000)*1,("Var_cap"=[1]OUT_SyntheticFuels!$B$4:$B$1000)*1,[1]OUT_SyntheticFuels!G$4:G$1000)</f>
        <v>0</v>
      </c>
      <c r="I2035" s="7" cm="1">
        <f t="array" ref="I2035">SUMPRODUCT(("SUP_WSTBIOCCS"=[1]OUT_SyntheticFuels!$C$4:$C$1000)*1,("Var_cap"=[1]OUT_SyntheticFuels!$B$4:$B$1000)*1,[1]OUT_SyntheticFuels!H$4:H$1000)</f>
        <v>0</v>
      </c>
      <c r="J2035" s="7" cm="1">
        <f t="array" ref="J2035">SUMPRODUCT(("SUP_WSTBIOCCS"=[1]OUT_SyntheticFuels!$C$4:$C$1000)*1,("Var_cap"=[1]OUT_SyntheticFuels!$B$4:$B$1000)*1,[1]OUT_SyntheticFuels!I$4:I$1000)</f>
        <v>0</v>
      </c>
      <c r="K2035" s="7" cm="1">
        <f t="array" ref="K2035">SUMPRODUCT(("SUP_WSTBIOCCS"=[1]OUT_SyntheticFuels!$C$4:$C$1000)*1,("Var_cap"=[1]OUT_SyntheticFuels!$B$4:$B$1000)*1,[1]OUT_SyntheticFuels!J$4:J$1000)</f>
        <v>0</v>
      </c>
    </row>
    <row r="2036" spans="2:11" x14ac:dyDescent="0.35">
      <c r="B2036" s="5" t="str">
        <f t="shared" ref="B2036:B2044" si="1291">B2035</f>
        <v>SPS4</v>
      </c>
      <c r="C2036" s="5" t="str">
        <f t="shared" si="1290"/>
        <v>CH</v>
      </c>
      <c r="D2036" t="s">
        <v>2171</v>
      </c>
      <c r="E2036" t="s">
        <v>2157</v>
      </c>
      <c r="F2036" s="7" cm="1">
        <f t="array" ref="F2036">SUMPRODUCT(("SUP_WSTHTGBIO"=[1]OUT_SyntheticFuels!$C$4:$C$1000)*1,("Var_cap"=[1]OUT_SyntheticFuels!$B$4:$B$1000)*1,[1]OUT_SyntheticFuels!E$4:E$1000)</f>
        <v>0</v>
      </c>
      <c r="G2036" s="7" cm="1">
        <f t="array" ref="G2036">SUMPRODUCT(("SUP_WSTHTGBIO"=[1]OUT_SyntheticFuels!$C$4:$C$1000)*1,("Var_cap"=[1]OUT_SyntheticFuels!$B$4:$B$1000)*1,[1]OUT_SyntheticFuels!F$4:F$1000)</f>
        <v>0</v>
      </c>
      <c r="H2036" s="7" cm="1">
        <f t="array" ref="H2036">SUMPRODUCT(("SUP_WSTHTGBIO"=[1]OUT_SyntheticFuels!$C$4:$C$1000)*1,("Var_cap"=[1]OUT_SyntheticFuels!$B$4:$B$1000)*1,[1]OUT_SyntheticFuels!G$4:G$1000)</f>
        <v>0</v>
      </c>
      <c r="I2036" s="7" cm="1">
        <f t="array" ref="I2036">SUMPRODUCT(("SUP_WSTHTGBIO"=[1]OUT_SyntheticFuels!$C$4:$C$1000)*1,("Var_cap"=[1]OUT_SyntheticFuels!$B$4:$B$1000)*1,[1]OUT_SyntheticFuels!H$4:H$1000)</f>
        <v>0</v>
      </c>
      <c r="J2036" s="7" cm="1">
        <f t="array" ref="J2036">SUMPRODUCT(("SUP_WSTHTGBIO"=[1]OUT_SyntheticFuels!$C$4:$C$1000)*1,("Var_cap"=[1]OUT_SyntheticFuels!$B$4:$B$1000)*1,[1]OUT_SyntheticFuels!I$4:I$1000)</f>
        <v>1.7523301444566399E-5</v>
      </c>
      <c r="K2036" s="7" cm="1">
        <f t="array" ref="K2036">SUMPRODUCT(("SUP_WSTHTGBIO"=[1]OUT_SyntheticFuels!$C$4:$C$1000)*1,("Var_cap"=[1]OUT_SyntheticFuels!$B$4:$B$1000)*1,[1]OUT_SyntheticFuels!J$4:J$1000)</f>
        <v>1.7599188832914846E-5</v>
      </c>
    </row>
    <row r="2037" spans="2:11" x14ac:dyDescent="0.35">
      <c r="B2037" s="5" t="str">
        <f t="shared" si="1291"/>
        <v>SPS4</v>
      </c>
      <c r="C2037" s="5" t="str">
        <f t="shared" si="1290"/>
        <v>CH</v>
      </c>
      <c r="D2037" t="s">
        <v>2172</v>
      </c>
      <c r="E2037" t="s">
        <v>2157</v>
      </c>
      <c r="F2037" s="7" cm="1">
        <f t="array" ref="F2037">SUMPRODUCT(("SUP_WSTHTGBIOCCS"=[1]OUT_SyntheticFuels!$C$4:$C$1000)*1,("Var_cap"=[1]OUT_SyntheticFuels!$B$4:$B$1000)*1,[1]OUT_SyntheticFuels!E$4:E$1000)</f>
        <v>0</v>
      </c>
      <c r="G2037" s="7" cm="1">
        <f t="array" ref="G2037">SUMPRODUCT(("SUP_WSTHTGBIOCCS"=[1]OUT_SyntheticFuels!$C$4:$C$1000)*1,("Var_cap"=[1]OUT_SyntheticFuels!$B$4:$B$1000)*1,[1]OUT_SyntheticFuels!F$4:F$1000)</f>
        <v>0</v>
      </c>
      <c r="H2037" s="7" cm="1">
        <f t="array" ref="H2037">SUMPRODUCT(("SUP_WSTHTGBIOCCS"=[1]OUT_SyntheticFuels!$C$4:$C$1000)*1,("Var_cap"=[1]OUT_SyntheticFuels!$B$4:$B$1000)*1,[1]OUT_SyntheticFuels!G$4:G$1000)</f>
        <v>0</v>
      </c>
      <c r="I2037" s="7" cm="1">
        <f t="array" ref="I2037">SUMPRODUCT(("SUP_WSTHTGBIOCCS"=[1]OUT_SyntheticFuels!$C$4:$C$1000)*1,("Var_cap"=[1]OUT_SyntheticFuels!$B$4:$B$1000)*1,[1]OUT_SyntheticFuels!H$4:H$1000)</f>
        <v>0</v>
      </c>
      <c r="J2037" s="7" cm="1">
        <f t="array" ref="J2037">SUMPRODUCT(("SUP_WSTHTGBIOCCS"=[1]OUT_SyntheticFuels!$C$4:$C$1000)*1,("Var_cap"=[1]OUT_SyntheticFuels!$B$4:$B$1000)*1,[1]OUT_SyntheticFuels!I$4:I$1000)</f>
        <v>0</v>
      </c>
      <c r="K2037" s="7" cm="1">
        <f t="array" ref="K2037">SUMPRODUCT(("SUP_WSTHTGBIOCCS"=[1]OUT_SyntheticFuels!$C$4:$C$1000)*1,("Var_cap"=[1]OUT_SyntheticFuels!$B$4:$B$1000)*1,[1]OUT_SyntheticFuels!J$4:J$1000)</f>
        <v>0</v>
      </c>
    </row>
    <row r="2038" spans="2:11" x14ac:dyDescent="0.35">
      <c r="B2038" s="5" t="str">
        <f t="shared" si="1291"/>
        <v>SPS4</v>
      </c>
      <c r="C2038" s="5" t="str">
        <f t="shared" si="1290"/>
        <v>CH</v>
      </c>
      <c r="D2038" t="s">
        <v>2173</v>
      </c>
      <c r="E2038" t="s">
        <v>2157</v>
      </c>
      <c r="F2038" s="7" cm="1">
        <f t="array" ref="F2038">SUMPRODUCT(("SUP_WODBIO"=[1]OUT_SyntheticFuels!$C$4:$C$1000)*1,("Var_cap"=[1]OUT_SyntheticFuels!$B$4:$B$1000)*1,[1]OUT_SyntheticFuels!E$4:E$1000)</f>
        <v>6.0828985177905802E-7</v>
      </c>
      <c r="G2038" s="7" cm="1">
        <f t="array" ref="G2038">SUMPRODUCT(("SUP_WODBIO"=[1]OUT_SyntheticFuels!$C$4:$C$1000)*1,("Var_cap"=[1]OUT_SyntheticFuels!$B$4:$B$1000)*1,[1]OUT_SyntheticFuels!F$4:F$1000)</f>
        <v>2.3482692451666376E-5</v>
      </c>
      <c r="H2038" s="7" cm="1">
        <f t="array" ref="H2038">SUMPRODUCT(("SUP_WODBIO"=[1]OUT_SyntheticFuels!$C$4:$C$1000)*1,("Var_cap"=[1]OUT_SyntheticFuels!$B$4:$B$1000)*1,[1]OUT_SyntheticFuels!G$4:G$1000)</f>
        <v>2.4835402264032277E-5</v>
      </c>
      <c r="I2038" s="7" cm="1">
        <f t="array" ref="I2038">SUMPRODUCT(("SUP_WODBIO"=[1]OUT_SyntheticFuels!$C$4:$C$1000)*1,("Var_cap"=[1]OUT_SyntheticFuels!$B$4:$B$1000)*1,[1]OUT_SyntheticFuels!H$4:H$1000)</f>
        <v>2.512468849879833E-5</v>
      </c>
      <c r="J2038" s="7" cm="1">
        <f t="array" ref="J2038">SUMPRODUCT(("SUP_WODBIO"=[1]OUT_SyntheticFuels!$C$4:$C$1000)*1,("Var_cap"=[1]OUT_SyntheticFuels!$B$4:$B$1000)*1,[1]OUT_SyntheticFuels!I$4:I$1000)</f>
        <v>3.0548966621989902E-5</v>
      </c>
      <c r="K2038" s="7" cm="1">
        <f t="array" ref="K2038">SUMPRODUCT(("SUP_WODBIO"=[1]OUT_SyntheticFuels!$C$4:$C$1000)*1,("Var_cap"=[1]OUT_SyntheticFuels!$B$4:$B$1000)*1,[1]OUT_SyntheticFuels!J$4:J$1000)</f>
        <v>2.1034518763131185E-5</v>
      </c>
    </row>
    <row r="2039" spans="2:11" x14ac:dyDescent="0.35">
      <c r="B2039" s="5" t="str">
        <f t="shared" si="1291"/>
        <v>SPS4</v>
      </c>
      <c r="C2039" s="5" t="str">
        <f t="shared" si="1290"/>
        <v>CH</v>
      </c>
      <c r="D2039" t="s">
        <v>2174</v>
      </c>
      <c r="E2039" t="s">
        <v>2157</v>
      </c>
      <c r="F2039" s="7" cm="1">
        <f t="array" ref="F2039">SUMPRODUCT(("SUP_WODBIOCCS"=[1]OUT_SyntheticFuels!$C$4:$C$1000)*1,("Var_cap"=[1]OUT_SyntheticFuels!$B$4:$B$1000)*1,[1]OUT_SyntheticFuels!E$4:E$1000)</f>
        <v>0</v>
      </c>
      <c r="G2039" s="7" cm="1">
        <f t="array" ref="G2039">SUMPRODUCT(("SUP_WODBIOCCS"=[1]OUT_SyntheticFuels!$C$4:$C$1000)*1,("Var_cap"=[1]OUT_SyntheticFuels!$B$4:$B$1000)*1,[1]OUT_SyntheticFuels!F$4:F$1000)</f>
        <v>0</v>
      </c>
      <c r="H2039" s="7" cm="1">
        <f t="array" ref="H2039">SUMPRODUCT(("SUP_WODBIOCCS"=[1]OUT_SyntheticFuels!$C$4:$C$1000)*1,("Var_cap"=[1]OUT_SyntheticFuels!$B$4:$B$1000)*1,[1]OUT_SyntheticFuels!G$4:G$1000)</f>
        <v>0</v>
      </c>
      <c r="I2039" s="7" cm="1">
        <f t="array" ref="I2039">SUMPRODUCT(("SUP_WODBIOCCS"=[1]OUT_SyntheticFuels!$C$4:$C$1000)*1,("Var_cap"=[1]OUT_SyntheticFuels!$B$4:$B$1000)*1,[1]OUT_SyntheticFuels!H$4:H$1000)</f>
        <v>0</v>
      </c>
      <c r="J2039" s="7" cm="1">
        <f t="array" ref="J2039">SUMPRODUCT(("SUP_WODBIOCCS"=[1]OUT_SyntheticFuels!$C$4:$C$1000)*1,("Var_cap"=[1]OUT_SyntheticFuels!$B$4:$B$1000)*1,[1]OUT_SyntheticFuels!I$4:I$1000)</f>
        <v>0</v>
      </c>
      <c r="K2039" s="7" cm="1">
        <f t="array" ref="K2039">SUMPRODUCT(("SUP_WODBIOCCS"=[1]OUT_SyntheticFuels!$C$4:$C$1000)*1,("Var_cap"=[1]OUT_SyntheticFuels!$B$4:$B$1000)*1,[1]OUT_SyntheticFuels!J$4:J$1000)</f>
        <v>0</v>
      </c>
    </row>
    <row r="2040" spans="2:11" x14ac:dyDescent="0.35">
      <c r="B2040" s="5" t="str">
        <f t="shared" si="1291"/>
        <v>SPS4</v>
      </c>
      <c r="C2040" s="5" t="str">
        <f t="shared" si="1290"/>
        <v>CH</v>
      </c>
      <c r="D2040" t="s">
        <v>2175</v>
      </c>
      <c r="E2040" t="s">
        <v>2157</v>
      </c>
      <c r="F2040" s="7" cm="1">
        <f t="array" ref="F2040">SUMPRODUCT(("SUP_BIONGA"=[1]OUT_SyntheticFuels!$C$4:$C$1000)*1,("Var_cap"=[1]OUT_SyntheticFuels!$B$4:$B$1000)*1,[1]OUT_SyntheticFuels!E$4:E$1000)</f>
        <v>4.2388060239471913E-2</v>
      </c>
      <c r="G2040" s="7" cm="1">
        <f t="array" ref="G2040">SUMPRODUCT(("SUP_BIONGA"=[1]OUT_SyntheticFuels!$C$4:$C$1000)*1,("Var_cap"=[1]OUT_SyntheticFuels!$B$4:$B$1000)*1,[1]OUT_SyntheticFuels!F$4:F$1000)</f>
        <v>0.12464111474726376</v>
      </c>
      <c r="H2040" s="7" cm="1">
        <f t="array" ref="H2040">SUMPRODUCT(("SUP_BIONGA"=[1]OUT_SyntheticFuels!$C$4:$C$1000)*1,("Var_cap"=[1]OUT_SyntheticFuels!$B$4:$B$1000)*1,[1]OUT_SyntheticFuels!G$4:G$1000)</f>
        <v>0.1037721081247924</v>
      </c>
      <c r="I2040" s="7" cm="1">
        <f t="array" ref="I2040">SUMPRODUCT(("SUP_BIONGA"=[1]OUT_SyntheticFuels!$C$4:$C$1000)*1,("Var_cap"=[1]OUT_SyntheticFuels!$B$4:$B$1000)*1,[1]OUT_SyntheticFuels!H$4:H$1000)</f>
        <v>0.1037421003743367</v>
      </c>
      <c r="J2040" s="7" cm="1">
        <f t="array" ref="J2040">SUMPRODUCT(("SUP_BIONGA"=[1]OUT_SyntheticFuels!$C$4:$C$1000)*1,("Var_cap"=[1]OUT_SyntheticFuels!$B$4:$B$1000)*1,[1]OUT_SyntheticFuels!I$4:I$1000)</f>
        <v>0.10366305560694482</v>
      </c>
      <c r="K2040" s="7" cm="1">
        <f t="array" ref="K2040">SUMPRODUCT(("SUP_BIONGA"=[1]OUT_SyntheticFuels!$C$4:$C$1000)*1,("Var_cap"=[1]OUT_SyntheticFuels!$B$4:$B$1000)*1,[1]OUT_SyntheticFuels!J$4:J$1000)</f>
        <v>0.10369610683914489</v>
      </c>
    </row>
    <row r="2041" spans="2:11" x14ac:dyDescent="0.35">
      <c r="B2041" s="5" t="str">
        <f t="shared" si="1291"/>
        <v>SPS4</v>
      </c>
      <c r="C2041" s="5" t="str">
        <f t="shared" si="1290"/>
        <v>CH</v>
      </c>
      <c r="D2041" t="s">
        <v>2176</v>
      </c>
      <c r="E2041" t="s">
        <v>2157</v>
      </c>
      <c r="F2041" s="7" cm="1">
        <f t="array" ref="F2041">SUMPRODUCT(("CT_CWODPLT"=[1]OUT_SyntheticFuels!$C$4:$C$1000)*1,("Var_cap"=[1]OUT_SyntheticFuels!$B$4:$B$1000)*1,[1]OUT_SyntheticFuels!E$4:E$1000)</f>
        <v>0.35541683922880474</v>
      </c>
      <c r="G2041" s="7" cm="1">
        <f t="array" ref="G2041">SUMPRODUCT(("CT_CWODPLT"=[1]OUT_SyntheticFuels!$C$4:$C$1000)*1,("Var_cap"=[1]OUT_SyntheticFuels!$B$4:$B$1000)*1,[1]OUT_SyntheticFuels!F$4:F$1000)</f>
        <v>0.40991398648189598</v>
      </c>
      <c r="H2041" s="7" cm="1">
        <f t="array" ref="H2041">SUMPRODUCT(("CT_CWODPLT"=[1]OUT_SyntheticFuels!$C$4:$C$1000)*1,("Var_cap"=[1]OUT_SyntheticFuels!$B$4:$B$1000)*1,[1]OUT_SyntheticFuels!G$4:G$1000)</f>
        <v>0.17907302661479202</v>
      </c>
      <c r="I2041" s="7" cm="1">
        <f t="array" ref="I2041">SUMPRODUCT(("CT_CWODPLT"=[1]OUT_SyntheticFuels!$C$4:$C$1000)*1,("Var_cap"=[1]OUT_SyntheticFuels!$B$4:$B$1000)*1,[1]OUT_SyntheticFuels!H$4:H$1000)</f>
        <v>0.17906047091339</v>
      </c>
      <c r="J2041" s="7" cm="1">
        <f t="array" ref="J2041">SUMPRODUCT(("CT_CWODPLT"=[1]OUT_SyntheticFuels!$C$4:$C$1000)*1,("Var_cap"=[1]OUT_SyntheticFuels!$B$4:$B$1000)*1,[1]OUT_SyntheticFuels!I$4:I$1000)</f>
        <v>0.20345341888305038</v>
      </c>
      <c r="K2041" s="7" cm="1">
        <f t="array" ref="K2041">SUMPRODUCT(("CT_CWODPLT"=[1]OUT_SyntheticFuels!$C$4:$C$1000)*1,("Var_cap"=[1]OUT_SyntheticFuels!$B$4:$B$1000)*1,[1]OUT_SyntheticFuels!J$4:J$1000)</f>
        <v>0.24480736435313774</v>
      </c>
    </row>
    <row r="2042" spans="2:11" x14ac:dyDescent="0.35">
      <c r="B2042" s="5" t="str">
        <f t="shared" si="1291"/>
        <v>SPS4</v>
      </c>
      <c r="C2042" s="5" t="str">
        <f t="shared" si="1290"/>
        <v>CH</v>
      </c>
      <c r="D2042" t="s">
        <v>2177</v>
      </c>
      <c r="E2042" t="s">
        <v>2157</v>
      </c>
      <c r="F2042" s="7" cm="1">
        <f t="array" ref="F2042">SUMPRODUCT(("SUP_H2NGA"=[1]OUT_SyntheticFuels!$C$4:$C$1000)*1,("Var_cap"=[1]OUT_SyntheticFuels!$B$4:$B$1000)*1,[1]OUT_SyntheticFuels!E$4:E$1000)</f>
        <v>0</v>
      </c>
      <c r="G2042" s="7" cm="1">
        <f t="array" ref="G2042">SUMPRODUCT(("SUP_H2NGA"=[1]OUT_SyntheticFuels!$C$4:$C$1000)*1,("Var_cap"=[1]OUT_SyntheticFuels!$B$4:$B$1000)*1,[1]OUT_SyntheticFuels!F$4:F$1000)</f>
        <v>0</v>
      </c>
      <c r="H2042" s="7" cm="1">
        <f t="array" ref="H2042">SUMPRODUCT(("SUP_H2NGA"=[1]OUT_SyntheticFuels!$C$4:$C$1000)*1,("Var_cap"=[1]OUT_SyntheticFuels!$B$4:$B$1000)*1,[1]OUT_SyntheticFuels!G$4:G$1000)</f>
        <v>0</v>
      </c>
      <c r="I2042" s="7" cm="1">
        <f t="array" ref="I2042">SUMPRODUCT(("SUP_H2NGA"=[1]OUT_SyntheticFuels!$C$4:$C$1000)*1,("Var_cap"=[1]OUT_SyntheticFuels!$B$4:$B$1000)*1,[1]OUT_SyntheticFuels!H$4:H$1000)</f>
        <v>3.5885686528982099E-7</v>
      </c>
      <c r="J2042" s="7" cm="1">
        <f t="array" ref="J2042">SUMPRODUCT(("SUP_H2NGA"=[1]OUT_SyntheticFuels!$C$4:$C$1000)*1,("Var_cap"=[1]OUT_SyntheticFuels!$B$4:$B$1000)*1,[1]OUT_SyntheticFuels!I$4:I$1000)</f>
        <v>2.1905216453329599E-6</v>
      </c>
      <c r="K2042" s="7" cm="1">
        <f t="array" ref="K2042">SUMPRODUCT(("SUP_H2NGA"=[1]OUT_SyntheticFuels!$C$4:$C$1000)*1,("Var_cap"=[1]OUT_SyntheticFuels!$B$4:$B$1000)*1,[1]OUT_SyntheticFuels!J$4:J$1000)</f>
        <v>1.5640615695649297E-6</v>
      </c>
    </row>
    <row r="2043" spans="2:11" x14ac:dyDescent="0.35">
      <c r="B2043" s="5" t="str">
        <f t="shared" si="1291"/>
        <v>SPS4</v>
      </c>
      <c r="C2043" s="5" t="str">
        <f t="shared" si="1290"/>
        <v>CH</v>
      </c>
      <c r="D2043" t="s">
        <v>2178</v>
      </c>
      <c r="E2043" t="s">
        <v>2157</v>
      </c>
      <c r="F2043" s="7" cm="1">
        <f t="array" ref="F2043">SUMPRODUCT(("SUP_H2DSL"=[1]OUT_SyntheticFuels!$C$4:$C$1000)*1,("Var_cap"=[1]OUT_SyntheticFuels!$B$4:$B$1000)*1,[1]OUT_SyntheticFuels!E$4:E$1000)</f>
        <v>0</v>
      </c>
      <c r="G2043" s="7" cm="1">
        <f t="array" ref="G2043">SUMPRODUCT(("SUP_H2DSL"=[1]OUT_SyntheticFuels!$C$4:$C$1000)*1,("Var_cap"=[1]OUT_SyntheticFuels!$B$4:$B$1000)*1,[1]OUT_SyntheticFuels!F$4:F$1000)</f>
        <v>0</v>
      </c>
      <c r="H2043" s="7" cm="1">
        <f t="array" ref="H2043">SUMPRODUCT(("SUP_H2DSL"=[1]OUT_SyntheticFuels!$C$4:$C$1000)*1,("Var_cap"=[1]OUT_SyntheticFuels!$B$4:$B$1000)*1,[1]OUT_SyntheticFuels!G$4:G$1000)</f>
        <v>0</v>
      </c>
      <c r="I2043" s="7" cm="1">
        <f t="array" ref="I2043">SUMPRODUCT(("SUP_H2DSL"=[1]OUT_SyntheticFuels!$C$4:$C$1000)*1,("Var_cap"=[1]OUT_SyntheticFuels!$B$4:$B$1000)*1,[1]OUT_SyntheticFuels!H$4:H$1000)</f>
        <v>4.9050075262296497E-7</v>
      </c>
      <c r="J2043" s="7" cm="1">
        <f t="array" ref="J2043">SUMPRODUCT(("SUP_H2DSL"=[1]OUT_SyntheticFuels!$C$4:$C$1000)*1,("Var_cap"=[1]OUT_SyntheticFuels!$B$4:$B$1000)*1,[1]OUT_SyntheticFuels!I$4:I$1000)</f>
        <v>1.3586945301921398E-6</v>
      </c>
      <c r="K2043" s="7" cm="1">
        <f t="array" ref="K2043">SUMPRODUCT(("SUP_H2DSL"=[1]OUT_SyntheticFuels!$C$4:$C$1000)*1,("Var_cap"=[1]OUT_SyntheticFuels!$B$4:$B$1000)*1,[1]OUT_SyntheticFuels!J$4:J$1000)</f>
        <v>9.0895778156819029E-7</v>
      </c>
    </row>
    <row r="2044" spans="2:11" x14ac:dyDescent="0.35">
      <c r="B2044" s="5" t="str">
        <f t="shared" si="1291"/>
        <v>SPS4</v>
      </c>
      <c r="C2044" s="5" t="str">
        <f t="shared" si="1290"/>
        <v>CH</v>
      </c>
      <c r="D2044" t="s">
        <v>2161</v>
      </c>
      <c r="E2044" t="s">
        <v>2157</v>
      </c>
      <c r="F2044" s="7" cm="1">
        <f t="array" ref="F2044">SUMPRODUCT(("SUP_H2GSL"=[1]OUT_SyntheticFuels!$C$4:$C$1000)*1,("Var_cap"=[1]OUT_SyntheticFuels!$B$4:$B$1000)*1,[1]OUT_SyntheticFuels!E$4:E$1000)</f>
        <v>0</v>
      </c>
      <c r="G2044" s="7" cm="1">
        <f t="array" ref="G2044">SUMPRODUCT(("SUP_H2GSL"=[1]OUT_SyntheticFuels!$C$4:$C$1000)*1,("Var_cap"=[1]OUT_SyntheticFuels!$B$4:$B$1000)*1,[1]OUT_SyntheticFuels!F$4:F$1000)</f>
        <v>0</v>
      </c>
      <c r="H2044" s="7" cm="1">
        <f t="array" ref="H2044">SUMPRODUCT(("SUP_H2GSL"=[1]OUT_SyntheticFuels!$C$4:$C$1000)*1,("Var_cap"=[1]OUT_SyntheticFuels!$B$4:$B$1000)*1,[1]OUT_SyntheticFuels!G$4:G$1000)</f>
        <v>0</v>
      </c>
      <c r="I2044" s="7" cm="1">
        <f t="array" ref="I2044">SUMPRODUCT(("SUP_H2GSL"=[1]OUT_SyntheticFuels!$C$4:$C$1000)*1,("Var_cap"=[1]OUT_SyntheticFuels!$B$4:$B$1000)*1,[1]OUT_SyntheticFuels!H$4:H$1000)</f>
        <v>4.6197214996878802E-7</v>
      </c>
      <c r="J2044" s="7" cm="1">
        <f t="array" ref="J2044">SUMPRODUCT(("SUP_H2GSL"=[1]OUT_SyntheticFuels!$C$4:$C$1000)*1,("Var_cap"=[1]OUT_SyntheticFuels!$B$4:$B$1000)*1,[1]OUT_SyntheticFuels!I$4:I$1000)</f>
        <v>1.15847293880126E-6</v>
      </c>
      <c r="K2044" s="7" cm="1">
        <f t="array" ref="K2044">SUMPRODUCT(("SUP_H2GSL"=[1]OUT_SyntheticFuels!$C$4:$C$1000)*1,("Var_cap"=[1]OUT_SyntheticFuels!$B$4:$B$1000)*1,[1]OUT_SyntheticFuels!J$4:J$1000)</f>
        <v>6.6938879664342011E-7</v>
      </c>
    </row>
    <row r="2045" spans="2:11" x14ac:dyDescent="0.35">
      <c r="B2045" s="9" t="str">
        <f>B2044</f>
        <v>SPS4</v>
      </c>
      <c r="C2045" s="2" t="str">
        <f t="shared" si="1290"/>
        <v>CH</v>
      </c>
      <c r="D2045" s="2" t="s">
        <v>2180</v>
      </c>
      <c r="E2045" s="2" t="s">
        <v>1858</v>
      </c>
      <c r="F2045" s="3">
        <f t="shared" ref="F2045:K2045" si="1292">SUM(F2046,F2048,F2052,F2056,F2072,F2079,F2087,F2089,F2097,F2101,F2095)</f>
        <v>3.4920558467618728E-3</v>
      </c>
      <c r="G2045" s="3">
        <f t="shared" si="1292"/>
        <v>8.6297330955528231E-2</v>
      </c>
      <c r="H2045" s="3">
        <f t="shared" si="1292"/>
        <v>4.6119911368626303</v>
      </c>
      <c r="I2045" s="3">
        <f t="shared" si="1292"/>
        <v>0.42298529102682675</v>
      </c>
      <c r="J2045" s="3">
        <f t="shared" si="1292"/>
        <v>5.6649568961853776</v>
      </c>
      <c r="K2045" s="3">
        <f t="shared" si="1292"/>
        <v>14.969205807437366</v>
      </c>
    </row>
    <row r="2046" spans="2:11" x14ac:dyDescent="0.35">
      <c r="B2046" s="5" t="str">
        <f t="shared" ref="B2046:B2109" si="1293">B2045</f>
        <v>SPS4</v>
      </c>
      <c r="C2046" s="5" t="str">
        <f t="shared" si="1290"/>
        <v>CH</v>
      </c>
      <c r="D2046" t="s">
        <v>2198</v>
      </c>
      <c r="E2046" t="str">
        <f t="shared" ref="E2046:K2096" si="1294">E2045</f>
        <v>GWe/yr.</v>
      </c>
      <c r="F2046" s="1">
        <f t="shared" ref="F2046:K2046" si="1295">+F2047</f>
        <v>0</v>
      </c>
      <c r="G2046" s="1">
        <f t="shared" si="1295"/>
        <v>0</v>
      </c>
      <c r="H2046" s="1">
        <f t="shared" si="1295"/>
        <v>0</v>
      </c>
      <c r="I2046" s="1">
        <f t="shared" si="1295"/>
        <v>0</v>
      </c>
      <c r="J2046" s="1">
        <f t="shared" si="1295"/>
        <v>0</v>
      </c>
      <c r="K2046" s="1">
        <f t="shared" si="1295"/>
        <v>0</v>
      </c>
    </row>
    <row r="2047" spans="2:11" x14ac:dyDescent="0.35">
      <c r="B2047" s="5" t="str">
        <f t="shared" si="1293"/>
        <v>SPS4</v>
      </c>
      <c r="C2047" s="5" t="str">
        <f t="shared" si="1290"/>
        <v>CH</v>
      </c>
      <c r="D2047" t="s">
        <v>2199</v>
      </c>
      <c r="E2047" t="str">
        <f t="shared" si="1294"/>
        <v>GWe/yr.</v>
      </c>
      <c r="F2047" s="1">
        <f>'[1]Electricity and CHPs_NCAP'!B$14</f>
        <v>0</v>
      </c>
      <c r="G2047" s="1">
        <f>'[1]Electricity and CHPs_NCAP'!C$14</f>
        <v>0</v>
      </c>
      <c r="H2047" s="1">
        <f>'[1]Electricity and CHPs_NCAP'!D$14</f>
        <v>0</v>
      </c>
      <c r="I2047" s="1">
        <f>'[1]Electricity and CHPs_NCAP'!E$14</f>
        <v>0</v>
      </c>
      <c r="J2047" s="1">
        <f>'[1]Electricity and CHPs_NCAP'!F$14</f>
        <v>0</v>
      </c>
      <c r="K2047" s="1">
        <f>'[1]Electricity and CHPs_NCAP'!G$14</f>
        <v>0</v>
      </c>
    </row>
    <row r="2048" spans="2:11" x14ac:dyDescent="0.35">
      <c r="B2048" s="5" t="str">
        <f t="shared" si="1293"/>
        <v>SPS4</v>
      </c>
      <c r="C2048" s="5" t="str">
        <f t="shared" si="1290"/>
        <v>CH</v>
      </c>
      <c r="D2048" t="s">
        <v>2200</v>
      </c>
      <c r="E2048" t="str">
        <f t="shared" si="1294"/>
        <v>GWe/yr.</v>
      </c>
      <c r="F2048" s="1">
        <f t="shared" ref="F2048:K2048" si="1296">SUM(F2049:F2051)</f>
        <v>0</v>
      </c>
      <c r="G2048" s="1">
        <f t="shared" si="1296"/>
        <v>2.501447976026301E-3</v>
      </c>
      <c r="H2048" s="1">
        <f t="shared" si="1296"/>
        <v>4.0616397408551946E-3</v>
      </c>
      <c r="I2048" s="1">
        <f t="shared" si="1296"/>
        <v>0.10983966699840184</v>
      </c>
      <c r="J2048" s="1">
        <f t="shared" si="1296"/>
        <v>0.12951595877562402</v>
      </c>
      <c r="K2048" s="1">
        <f t="shared" si="1296"/>
        <v>0.45045363487846124</v>
      </c>
    </row>
    <row r="2049" spans="2:11" x14ac:dyDescent="0.35">
      <c r="B2049" s="5" t="str">
        <f t="shared" si="1293"/>
        <v>SPS4</v>
      </c>
      <c r="C2049" s="5" t="str">
        <f t="shared" si="1290"/>
        <v>CH</v>
      </c>
      <c r="D2049" t="s">
        <v>2201</v>
      </c>
      <c r="E2049" t="str">
        <f t="shared" si="1294"/>
        <v>GWe/yr.</v>
      </c>
      <c r="F2049" s="1">
        <f>'[1]Electricity and CHPs_NCAP'!B$15</f>
        <v>0</v>
      </c>
      <c r="G2049" s="1">
        <f>'[1]Electricity and CHPs_NCAP'!C$15</f>
        <v>1.9118150044967219E-3</v>
      </c>
      <c r="H2049" s="1">
        <f>'[1]Electricity and CHPs_NCAP'!D$15</f>
        <v>3.3520926155660054E-3</v>
      </c>
      <c r="I2049" s="1">
        <f>'[1]Electricity and CHPs_NCAP'!E$15</f>
        <v>0.10983814608311909</v>
      </c>
      <c r="J2049" s="1">
        <f>'[1]Electricity and CHPs_NCAP'!F$15</f>
        <v>0.12951523244553284</v>
      </c>
      <c r="K2049" s="1">
        <f>'[1]Electricity and CHPs_NCAP'!G$15</f>
        <v>0.45045258111465603</v>
      </c>
    </row>
    <row r="2050" spans="2:11" x14ac:dyDescent="0.35">
      <c r="B2050" s="5" t="str">
        <f t="shared" si="1293"/>
        <v>SPS4</v>
      </c>
      <c r="C2050" s="5" t="str">
        <f t="shared" si="1290"/>
        <v>CH</v>
      </c>
      <c r="D2050" t="s">
        <v>2202</v>
      </c>
      <c r="E2050" t="str">
        <f t="shared" si="1294"/>
        <v>GWe/yr.</v>
      </c>
      <c r="F2050" s="1">
        <f>'[1]Electricity and CHPs_NCAP'!B$16</f>
        <v>0</v>
      </c>
      <c r="G2050" s="1">
        <f>'[1]Electricity and CHPs_NCAP'!C$16</f>
        <v>4.0706621360030984E-4</v>
      </c>
      <c r="H2050" s="1">
        <f>'[1]Electricity and CHPs_NCAP'!D$16</f>
        <v>7.0946423691408344E-4</v>
      </c>
      <c r="I2050" s="1">
        <f>'[1]Electricity and CHPs_NCAP'!E$16</f>
        <v>1.4134790762348128E-6</v>
      </c>
      <c r="J2050" s="1">
        <f>'[1]Electricity and CHPs_NCAP'!F$16</f>
        <v>6.0146077218792917E-7</v>
      </c>
      <c r="K2050" s="1">
        <f>'[1]Electricity and CHPs_NCAP'!G$16</f>
        <v>6.5553756293534355E-7</v>
      </c>
    </row>
    <row r="2051" spans="2:11" x14ac:dyDescent="0.35">
      <c r="B2051" s="5" t="str">
        <f t="shared" si="1293"/>
        <v>SPS4</v>
      </c>
      <c r="C2051" s="5" t="str">
        <f t="shared" si="1290"/>
        <v>CH</v>
      </c>
      <c r="D2051" t="s">
        <v>2203</v>
      </c>
      <c r="E2051" t="str">
        <f t="shared" si="1294"/>
        <v>GWe/yr.</v>
      </c>
      <c r="F2051" s="1">
        <f>'[1]Electricity and CHPs_NCAP'!B$17</f>
        <v>0</v>
      </c>
      <c r="G2051" s="1">
        <f>'[1]Electricity and CHPs_NCAP'!C$17</f>
        <v>1.8256675792926899E-4</v>
      </c>
      <c r="H2051" s="1">
        <f>'[1]Electricity and CHPs_NCAP'!D$17</f>
        <v>8.2888375105245397E-8</v>
      </c>
      <c r="I2051" s="1">
        <f>'[1]Electricity and CHPs_NCAP'!E$17</f>
        <v>1.07436206513319E-7</v>
      </c>
      <c r="J2051" s="1">
        <f>'[1]Electricity and CHPs_NCAP'!F$17</f>
        <v>1.2486931900034699E-7</v>
      </c>
      <c r="K2051" s="1">
        <f>'[1]Electricity and CHPs_NCAP'!G$17</f>
        <v>3.9822624227684198E-7</v>
      </c>
    </row>
    <row r="2052" spans="2:11" x14ac:dyDescent="0.35">
      <c r="B2052" s="5" t="str">
        <f t="shared" si="1293"/>
        <v>SPS4</v>
      </c>
      <c r="C2052" s="5" t="str">
        <f t="shared" si="1290"/>
        <v>CH</v>
      </c>
      <c r="D2052" t="s">
        <v>2204</v>
      </c>
      <c r="E2052" t="str">
        <f t="shared" si="1294"/>
        <v>GWe/yr.</v>
      </c>
      <c r="F2052" s="1">
        <f t="shared" ref="F2052:K2052" si="1297">SUM(F2053:F2055)</f>
        <v>0</v>
      </c>
      <c r="G2052" s="1">
        <f t="shared" si="1297"/>
        <v>5.4740368559955503E-3</v>
      </c>
      <c r="H2052" s="1">
        <f t="shared" si="1297"/>
        <v>6.3225859491569123E-3</v>
      </c>
      <c r="I2052" s="1">
        <f t="shared" si="1297"/>
        <v>2.4332035673307658E-2</v>
      </c>
      <c r="J2052" s="1">
        <f t="shared" si="1297"/>
        <v>2.4033635410591662E-2</v>
      </c>
      <c r="K2052" s="1">
        <f t="shared" si="1297"/>
        <v>5.6731507601067564E-2</v>
      </c>
    </row>
    <row r="2053" spans="2:11" x14ac:dyDescent="0.35">
      <c r="B2053" s="5" t="str">
        <f t="shared" si="1293"/>
        <v>SPS4</v>
      </c>
      <c r="C2053" s="5" t="str">
        <f t="shared" si="1290"/>
        <v>CH</v>
      </c>
      <c r="D2053" t="s">
        <v>2205</v>
      </c>
      <c r="E2053" t="str">
        <f t="shared" si="1294"/>
        <v>GWe/yr.</v>
      </c>
      <c r="F2053" s="1">
        <f>'[1]Electricity and CHPs_NCAP'!B$18</f>
        <v>0</v>
      </c>
      <c r="G2053" s="1">
        <f>'[1]Electricity and CHPs_NCAP'!C$18</f>
        <v>5.450674622101E-6</v>
      </c>
      <c r="H2053" s="1">
        <f>'[1]Electricity and CHPs_NCAP'!D$18</f>
        <v>6.3182342304183301E-3</v>
      </c>
      <c r="I2053" s="1">
        <f>'[1]Electricity and CHPs_NCAP'!E$18</f>
        <v>8.1584539990014696E-3</v>
      </c>
      <c r="J2053" s="1">
        <f>'[1]Electricity and CHPs_NCAP'!F$18</f>
        <v>4.3058405218305296E-6</v>
      </c>
      <c r="K2053" s="1">
        <f>'[1]Electricity and CHPs_NCAP'!G$18</f>
        <v>1.9645265802901201E-6</v>
      </c>
    </row>
    <row r="2054" spans="2:11" x14ac:dyDescent="0.35">
      <c r="B2054" s="5" t="str">
        <f t="shared" si="1293"/>
        <v>SPS4</v>
      </c>
      <c r="C2054" s="5" t="str">
        <f t="shared" si="1290"/>
        <v>CH</v>
      </c>
      <c r="D2054" t="s">
        <v>2206</v>
      </c>
      <c r="E2054" t="str">
        <f t="shared" si="1294"/>
        <v>GWe/yr.</v>
      </c>
      <c r="F2054" s="1">
        <f>'[1]Electricity and CHPs_NCAP'!B$28</f>
        <v>0</v>
      </c>
      <c r="G2054" s="1">
        <f>'[1]Electricity and CHPs_NCAP'!C$28</f>
        <v>1.64824241531989E-6</v>
      </c>
      <c r="H2054" s="1">
        <f>'[1]Electricity and CHPs_NCAP'!D$28</f>
        <v>1.4673053751963899E-6</v>
      </c>
      <c r="I2054" s="1">
        <f>'[1]Electricity and CHPs_NCAP'!E$28</f>
        <v>2.33271516048816E-6</v>
      </c>
      <c r="J2054" s="1">
        <f>'[1]Electricity and CHPs_NCAP'!F$28</f>
        <v>3.7994457864734397E-5</v>
      </c>
      <c r="K2054" s="1">
        <f>'[1]Electricity and CHPs_NCAP'!G$28</f>
        <v>6.8450029054877099E-5</v>
      </c>
    </row>
    <row r="2055" spans="2:11" x14ac:dyDescent="0.35">
      <c r="B2055" s="5" t="str">
        <f t="shared" si="1293"/>
        <v>SPS4</v>
      </c>
      <c r="C2055" s="5" t="str">
        <f t="shared" si="1290"/>
        <v>CH</v>
      </c>
      <c r="D2055" t="s">
        <v>2207</v>
      </c>
      <c r="E2055" t="str">
        <f t="shared" si="1294"/>
        <v>GWe/yr.</v>
      </c>
      <c r="F2055" s="1">
        <f>'[1]Electricity and CHPs_NCAP'!B$41</f>
        <v>0</v>
      </c>
      <c r="G2055" s="1">
        <f>'[1]Electricity and CHPs_NCAP'!C$41</f>
        <v>5.4669379389581298E-3</v>
      </c>
      <c r="H2055" s="1">
        <f>'[1]Electricity and CHPs_NCAP'!D$41</f>
        <v>2.8844133633862599E-6</v>
      </c>
      <c r="I2055" s="1">
        <f>'[1]Electricity and CHPs_NCAP'!E$41</f>
        <v>1.61712489591457E-2</v>
      </c>
      <c r="J2055" s="1">
        <f>'[1]Electricity and CHPs_NCAP'!F$41</f>
        <v>2.3991335112205098E-2</v>
      </c>
      <c r="K2055" s="1">
        <f>'[1]Electricity and CHPs_NCAP'!G$41</f>
        <v>5.6661093045432397E-2</v>
      </c>
    </row>
    <row r="2056" spans="2:11" x14ac:dyDescent="0.35">
      <c r="B2056" s="5" t="str">
        <f t="shared" si="1293"/>
        <v>SPS4</v>
      </c>
      <c r="C2056" s="5" t="str">
        <f t="shared" si="1290"/>
        <v>CH</v>
      </c>
      <c r="D2056" t="s">
        <v>2208</v>
      </c>
      <c r="E2056" t="str">
        <f t="shared" si="1294"/>
        <v>GWe/yr.</v>
      </c>
      <c r="F2056" s="1">
        <f t="shared" ref="F2056:K2056" si="1298">SUM(F2057:F2071)</f>
        <v>0</v>
      </c>
      <c r="G2056" s="1">
        <f t="shared" si="1298"/>
        <v>5.3553773093062099E-2</v>
      </c>
      <c r="H2056" s="1">
        <f t="shared" si="1298"/>
        <v>6.8814093769355373E-3</v>
      </c>
      <c r="I2056" s="1">
        <f t="shared" si="1298"/>
        <v>7.2659512628661618E-2</v>
      </c>
      <c r="J2056" s="1">
        <f t="shared" si="1298"/>
        <v>0.31038277827699079</v>
      </c>
      <c r="K2056" s="1">
        <f t="shared" si="1298"/>
        <v>0.89167823467327223</v>
      </c>
    </row>
    <row r="2057" spans="2:11" x14ac:dyDescent="0.35">
      <c r="B2057" s="5" t="str">
        <f t="shared" si="1293"/>
        <v>SPS4</v>
      </c>
      <c r="C2057" s="5" t="str">
        <f t="shared" si="1290"/>
        <v>CH</v>
      </c>
      <c r="D2057" t="s">
        <v>2209</v>
      </c>
      <c r="E2057" t="str">
        <f t="shared" si="1294"/>
        <v>GWe/yr.</v>
      </c>
      <c r="F2057" s="1">
        <f>'[1]Electricity and CHPs_NCAP'!B$21</f>
        <v>0</v>
      </c>
      <c r="G2057" s="1">
        <f>'[1]Electricity and CHPs_NCAP'!C$21</f>
        <v>0</v>
      </c>
      <c r="H2057" s="1">
        <f>'[1]Electricity and CHPs_NCAP'!D$21</f>
        <v>0</v>
      </c>
      <c r="I2057" s="1">
        <f>'[1]Electricity and CHPs_NCAP'!E$21</f>
        <v>0</v>
      </c>
      <c r="J2057" s="1">
        <f>'[1]Electricity and CHPs_NCAP'!F$21</f>
        <v>9.5856534006312794E-3</v>
      </c>
      <c r="K2057" s="1">
        <f>'[1]Electricity and CHPs_NCAP'!G$21</f>
        <v>0.31997334494117102</v>
      </c>
    </row>
    <row r="2058" spans="2:11" x14ac:dyDescent="0.35">
      <c r="B2058" s="5" t="str">
        <f t="shared" si="1293"/>
        <v>SPS4</v>
      </c>
      <c r="C2058" s="5" t="str">
        <f t="shared" si="1290"/>
        <v>CH</v>
      </c>
      <c r="D2058" t="s">
        <v>2210</v>
      </c>
      <c r="E2058" t="str">
        <f t="shared" si="1294"/>
        <v>GWe/yr.</v>
      </c>
      <c r="F2058" s="1">
        <f>'[1]Electricity and CHPs_NCAP'!B$22</f>
        <v>0</v>
      </c>
      <c r="G2058" s="1">
        <f>'[1]Electricity and CHPs_NCAP'!C$22</f>
        <v>0</v>
      </c>
      <c r="H2058" s="1">
        <f>'[1]Electricity and CHPs_NCAP'!D$22</f>
        <v>0</v>
      </c>
      <c r="I2058" s="1">
        <f>'[1]Electricity and CHPs_NCAP'!E$22</f>
        <v>0</v>
      </c>
      <c r="J2058" s="1">
        <f>'[1]Electricity and CHPs_NCAP'!F$22</f>
        <v>1.3369085105174601E-6</v>
      </c>
      <c r="K2058" s="1">
        <f>'[1]Electricity and CHPs_NCAP'!G$22</f>
        <v>8.5997566862434E-7</v>
      </c>
    </row>
    <row r="2059" spans="2:11" x14ac:dyDescent="0.35">
      <c r="B2059" s="5" t="str">
        <f t="shared" si="1293"/>
        <v>SPS4</v>
      </c>
      <c r="C2059" s="5" t="str">
        <f t="shared" si="1290"/>
        <v>CH</v>
      </c>
      <c r="D2059" t="s">
        <v>2211</v>
      </c>
      <c r="E2059" t="str">
        <f t="shared" si="1294"/>
        <v>GWe/yr.</v>
      </c>
      <c r="F2059" s="1">
        <f>'[1]Electricity and CHPs_NCAP'!B$23</f>
        <v>0</v>
      </c>
      <c r="G2059" s="1">
        <f>'[1]Electricity and CHPs_NCAP'!C$23</f>
        <v>0</v>
      </c>
      <c r="H2059" s="1">
        <f>'[1]Electricity and CHPs_NCAP'!D$23</f>
        <v>0</v>
      </c>
      <c r="I2059" s="1">
        <f>'[1]Electricity and CHPs_NCAP'!E$23</f>
        <v>0</v>
      </c>
      <c r="J2059" s="1">
        <f>'[1]Electricity and CHPs_NCAP'!F$23</f>
        <v>0</v>
      </c>
      <c r="K2059" s="1">
        <f>'[1]Electricity and CHPs_NCAP'!G$23</f>
        <v>0</v>
      </c>
    </row>
    <row r="2060" spans="2:11" x14ac:dyDescent="0.35">
      <c r="B2060" s="5" t="str">
        <f t="shared" si="1293"/>
        <v>SPS4</v>
      </c>
      <c r="C2060" s="5" t="str">
        <f t="shared" si="1290"/>
        <v>CH</v>
      </c>
      <c r="D2060" t="s">
        <v>2212</v>
      </c>
      <c r="E2060" t="str">
        <f t="shared" si="1294"/>
        <v>GWe/yr.</v>
      </c>
      <c r="F2060" s="1">
        <f>'[1]Electricity and CHPs_NCAP'!B$24</f>
        <v>0</v>
      </c>
      <c r="G2060" s="1">
        <f>'[1]Electricity and CHPs_NCAP'!C$24</f>
        <v>3.13310782231843E-7</v>
      </c>
      <c r="H2060" s="1">
        <f>'[1]Electricity and CHPs_NCAP'!D$24</f>
        <v>2.01192122687136E-4</v>
      </c>
      <c r="I2060" s="1">
        <f>'[1]Electricity and CHPs_NCAP'!E$24</f>
        <v>5.3680563069810403E-6</v>
      </c>
      <c r="J2060" s="1">
        <f>'[1]Electricity and CHPs_NCAP'!F$24</f>
        <v>6.5877102043432195E-2</v>
      </c>
      <c r="K2060" s="1">
        <f>'[1]Electricity and CHPs_NCAP'!G$24</f>
        <v>3.2563771218894799E-4</v>
      </c>
    </row>
    <row r="2061" spans="2:11" x14ac:dyDescent="0.35">
      <c r="B2061" s="5" t="str">
        <f t="shared" si="1293"/>
        <v>SPS4</v>
      </c>
      <c r="C2061" s="5" t="str">
        <f t="shared" si="1290"/>
        <v>CH</v>
      </c>
      <c r="D2061" t="s">
        <v>2213</v>
      </c>
      <c r="E2061" t="str">
        <f t="shared" si="1294"/>
        <v>GWe/yr.</v>
      </c>
      <c r="F2061" s="1">
        <f>'[1]Electricity and CHPs_NCAP'!B$29</f>
        <v>0</v>
      </c>
      <c r="G2061" s="1">
        <f>'[1]Electricity and CHPs_NCAP'!C$29</f>
        <v>0</v>
      </c>
      <c r="H2061" s="1">
        <f>'[1]Electricity and CHPs_NCAP'!D$29</f>
        <v>0</v>
      </c>
      <c r="I2061" s="1">
        <f>'[1]Electricity and CHPs_NCAP'!E$29</f>
        <v>0</v>
      </c>
      <c r="J2061" s="1">
        <f>'[1]Electricity and CHPs_NCAP'!F$29</f>
        <v>1.5507023438008799E-2</v>
      </c>
      <c r="K2061" s="1">
        <f>'[1]Electricity and CHPs_NCAP'!G$29</f>
        <v>6.2983905614890895E-2</v>
      </c>
    </row>
    <row r="2062" spans="2:11" x14ac:dyDescent="0.35">
      <c r="B2062" s="5" t="str">
        <f t="shared" si="1293"/>
        <v>SPS4</v>
      </c>
      <c r="C2062" s="5" t="str">
        <f t="shared" si="1290"/>
        <v>CH</v>
      </c>
      <c r="D2062" t="s">
        <v>2214</v>
      </c>
      <c r="E2062" t="str">
        <f t="shared" si="1294"/>
        <v>GWe/yr.</v>
      </c>
      <c r="F2062" s="1">
        <f>'[1]Electricity and CHPs_NCAP'!B$39</f>
        <v>0</v>
      </c>
      <c r="G2062" s="1">
        <f>'[1]Electricity and CHPs_NCAP'!C$39</f>
        <v>4.3000534295831901E-7</v>
      </c>
      <c r="H2062" s="1">
        <f>'[1]Electricity and CHPs_NCAP'!D$39</f>
        <v>3.5238759431125202E-6</v>
      </c>
      <c r="I2062" s="1">
        <f>'[1]Electricity and CHPs_NCAP'!E$39</f>
        <v>1.11828775409269E-2</v>
      </c>
      <c r="J2062" s="1">
        <f>'[1]Electricity and CHPs_NCAP'!F$39</f>
        <v>3.1315917654282699E-6</v>
      </c>
      <c r="K2062" s="1">
        <f>'[1]Electricity and CHPs_NCAP'!G$39</f>
        <v>7.0447424932504601E-5</v>
      </c>
    </row>
    <row r="2063" spans="2:11" x14ac:dyDescent="0.35">
      <c r="B2063" s="5" t="str">
        <f t="shared" si="1293"/>
        <v>SPS4</v>
      </c>
      <c r="C2063" s="5" t="str">
        <f t="shared" si="1290"/>
        <v>CH</v>
      </c>
      <c r="D2063" t="s">
        <v>2215</v>
      </c>
      <c r="E2063" t="str">
        <f t="shared" si="1294"/>
        <v>GWe/yr.</v>
      </c>
      <c r="F2063" s="1">
        <f>'[1]Electricity and CHPs_NCAP'!B$40</f>
        <v>0</v>
      </c>
      <c r="G2063" s="1">
        <f>'[1]Electricity and CHPs_NCAP'!C$40</f>
        <v>0</v>
      </c>
      <c r="H2063" s="1">
        <f>'[1]Electricity and CHPs_NCAP'!D$40</f>
        <v>0</v>
      </c>
      <c r="I2063" s="1">
        <f>'[1]Electricity and CHPs_NCAP'!E$40</f>
        <v>0</v>
      </c>
      <c r="J2063" s="1">
        <f>'[1]Electricity and CHPs_NCAP'!F$40</f>
        <v>0</v>
      </c>
      <c r="K2063" s="1">
        <f>'[1]Electricity and CHPs_NCAP'!G$40</f>
        <v>0</v>
      </c>
    </row>
    <row r="2064" spans="2:11" x14ac:dyDescent="0.35">
      <c r="B2064" s="5" t="str">
        <f t="shared" si="1293"/>
        <v>SPS4</v>
      </c>
      <c r="C2064" s="5" t="str">
        <f t="shared" si="1290"/>
        <v>CH</v>
      </c>
      <c r="D2064" t="s">
        <v>2216</v>
      </c>
      <c r="E2064" t="str">
        <f t="shared" si="1294"/>
        <v>GWe/yr.</v>
      </c>
      <c r="F2064" s="1">
        <f>'[1]Electricity and CHPs_NCAP'!B$47</f>
        <v>0</v>
      </c>
      <c r="G2064" s="1">
        <f>'[1]Electricity and CHPs_NCAP'!C$47</f>
        <v>0</v>
      </c>
      <c r="H2064" s="1">
        <f>'[1]Electricity and CHPs_NCAP'!D$47</f>
        <v>0</v>
      </c>
      <c r="I2064" s="1">
        <f>'[1]Electricity and CHPs_NCAP'!E$47</f>
        <v>8.0856294682582995E-5</v>
      </c>
      <c r="J2064" s="1">
        <f>'[1]Electricity and CHPs_NCAP'!F$47</f>
        <v>4.6477279701766301E-5</v>
      </c>
      <c r="K2064" s="1">
        <f>'[1]Electricity and CHPs_NCAP'!G$47</f>
        <v>6.5209894252865597E-5</v>
      </c>
    </row>
    <row r="2065" spans="2:11" x14ac:dyDescent="0.35">
      <c r="B2065" s="5" t="str">
        <f t="shared" si="1293"/>
        <v>SPS4</v>
      </c>
      <c r="C2065" s="5" t="str">
        <f t="shared" si="1290"/>
        <v>CH</v>
      </c>
      <c r="D2065" t="s">
        <v>2217</v>
      </c>
      <c r="E2065" t="str">
        <f t="shared" si="1294"/>
        <v>GWe/yr.</v>
      </c>
      <c r="F2065" s="1">
        <f>'[1]Electricity and CHPs_NCAP'!B$48</f>
        <v>0</v>
      </c>
      <c r="G2065" s="1">
        <f>'[1]Electricity and CHPs_NCAP'!C$48</f>
        <v>4.7968976196916338E-5</v>
      </c>
      <c r="H2065" s="1">
        <f>'[1]Electricity and CHPs_NCAP'!D$48</f>
        <v>4.7514329160520298E-5</v>
      </c>
      <c r="I2065" s="1">
        <f>'[1]Electricity and CHPs_NCAP'!E$48</f>
        <v>7.5336404206660701E-6</v>
      </c>
      <c r="J2065" s="1">
        <f>'[1]Electricity and CHPs_NCAP'!F$48</f>
        <v>6.2533070664242801E-5</v>
      </c>
      <c r="K2065" s="1">
        <f>'[1]Electricity and CHPs_NCAP'!G$48</f>
        <v>6.3487951760121355E-5</v>
      </c>
    </row>
    <row r="2066" spans="2:11" x14ac:dyDescent="0.35">
      <c r="B2066" s="5" t="str">
        <f t="shared" si="1293"/>
        <v>SPS4</v>
      </c>
      <c r="C2066" s="5" t="str">
        <f t="shared" si="1290"/>
        <v>CH</v>
      </c>
      <c r="D2066" t="s">
        <v>2218</v>
      </c>
      <c r="E2066" t="str">
        <f t="shared" si="1294"/>
        <v>GWe/yr.</v>
      </c>
      <c r="F2066" s="1">
        <f>'[1]Electricity and CHPs_NCAP'!B$49</f>
        <v>0</v>
      </c>
      <c r="G2066" s="1">
        <f>'[1]Electricity and CHPs_NCAP'!C$49</f>
        <v>0</v>
      </c>
      <c r="H2066" s="1">
        <f>'[1]Electricity and CHPs_NCAP'!D$49</f>
        <v>0</v>
      </c>
      <c r="I2066" s="1">
        <f>'[1]Electricity and CHPs_NCAP'!E$49</f>
        <v>2.0324396791E-5</v>
      </c>
      <c r="J2066" s="1">
        <f>'[1]Electricity and CHPs_NCAP'!F$49</f>
        <v>1.3210131636052471E-6</v>
      </c>
      <c r="K2066" s="1">
        <f>'[1]Electricity and CHPs_NCAP'!G$49</f>
        <v>1.9496527308196678E-5</v>
      </c>
    </row>
    <row r="2067" spans="2:11" x14ac:dyDescent="0.35">
      <c r="B2067" s="5" t="str">
        <f t="shared" si="1293"/>
        <v>SPS4</v>
      </c>
      <c r="C2067" s="5" t="str">
        <f t="shared" si="1290"/>
        <v>CH</v>
      </c>
      <c r="D2067" t="s">
        <v>2219</v>
      </c>
      <c r="E2067" t="str">
        <f t="shared" si="1294"/>
        <v>GWe/yr.</v>
      </c>
      <c r="F2067" s="1">
        <f>'[1]Electricity and CHPs_NCAP'!B$51</f>
        <v>0</v>
      </c>
      <c r="G2067" s="1">
        <f>'[1]Electricity and CHPs_NCAP'!C$51</f>
        <v>1.4528244598158995E-4</v>
      </c>
      <c r="H2067" s="1">
        <f>'[1]Electricity and CHPs_NCAP'!D$51</f>
        <v>6.1494334474669333E-5</v>
      </c>
      <c r="I2067" s="1">
        <f>'[1]Electricity and CHPs_NCAP'!E$51</f>
        <v>4.90157616319278E-2</v>
      </c>
      <c r="J2067" s="1">
        <f>'[1]Electricity and CHPs_NCAP'!F$51</f>
        <v>0.18743730039271289</v>
      </c>
      <c r="K2067" s="1">
        <f>'[1]Electricity and CHPs_NCAP'!G$51</f>
        <v>1.6031951135311871E-5</v>
      </c>
    </row>
    <row r="2068" spans="2:11" x14ac:dyDescent="0.35">
      <c r="B2068" s="5" t="str">
        <f t="shared" si="1293"/>
        <v>SPS4</v>
      </c>
      <c r="C2068" s="5" t="str">
        <f t="shared" si="1290"/>
        <v>CH</v>
      </c>
      <c r="D2068" t="s">
        <v>2220</v>
      </c>
      <c r="E2068" t="str">
        <f t="shared" si="1294"/>
        <v>GWe/yr.</v>
      </c>
      <c r="F2068" s="1">
        <f>'[1]Electricity and CHPs_NCAP'!B$52</f>
        <v>0</v>
      </c>
      <c r="G2068" s="1">
        <f>'[1]Electricity and CHPs_NCAP'!C$52</f>
        <v>0</v>
      </c>
      <c r="H2068" s="1">
        <f>'[1]Electricity and CHPs_NCAP'!D$52</f>
        <v>0</v>
      </c>
      <c r="I2068" s="1">
        <f>'[1]Electricity and CHPs_NCAP'!E$52</f>
        <v>9.4164445473754688E-5</v>
      </c>
      <c r="J2068" s="1">
        <f>'[1]Electricity and CHPs_NCAP'!F$52</f>
        <v>1.5695915559713731E-4</v>
      </c>
      <c r="K2068" s="1">
        <f>'[1]Electricity and CHPs_NCAP'!G$52</f>
        <v>0.11681137379844719</v>
      </c>
    </row>
    <row r="2069" spans="2:11" x14ac:dyDescent="0.35">
      <c r="B2069" s="5" t="str">
        <f t="shared" si="1293"/>
        <v>SPS4</v>
      </c>
      <c r="C2069" s="5" t="str">
        <f t="shared" si="1290"/>
        <v>CH</v>
      </c>
      <c r="D2069" t="s">
        <v>2221</v>
      </c>
      <c r="E2069" t="str">
        <f t="shared" si="1294"/>
        <v>GWe/yr.</v>
      </c>
      <c r="F2069" s="1">
        <f>'[1]Electricity and CHPs_NCAP'!B$54</f>
        <v>0</v>
      </c>
      <c r="G2069" s="1">
        <f>'[1]Electricity and CHPs_NCAP'!C$54</f>
        <v>2.6188588999241699E-2</v>
      </c>
      <c r="H2069" s="1">
        <f>'[1]Electricity and CHPs_NCAP'!D$54</f>
        <v>6.5673508513840002E-3</v>
      </c>
      <c r="I2069" s="1">
        <f>'[1]Electricity and CHPs_NCAP'!E$54</f>
        <v>1.22216642623117E-2</v>
      </c>
      <c r="J2069" s="1">
        <f>'[1]Electricity and CHPs_NCAP'!F$54</f>
        <v>3.11529619035033E-2</v>
      </c>
      <c r="K2069" s="1">
        <f>'[1]Electricity and CHPs_NCAP'!G$54</f>
        <v>4.3489972275047799E-2</v>
      </c>
    </row>
    <row r="2070" spans="2:11" x14ac:dyDescent="0.35">
      <c r="B2070" s="5" t="str">
        <f t="shared" si="1293"/>
        <v>SPS4</v>
      </c>
      <c r="C2070" s="5" t="str">
        <f t="shared" si="1290"/>
        <v>CH</v>
      </c>
      <c r="D2070" t="s">
        <v>2222</v>
      </c>
      <c r="E2070" t="str">
        <f t="shared" si="1294"/>
        <v>GWe/yr.</v>
      </c>
      <c r="F2070" s="1">
        <f>'[1]Electricity and CHPs_NCAP'!B$55</f>
        <v>0</v>
      </c>
      <c r="G2070" s="1">
        <f>'[1]Electricity and CHPs_NCAP'!C$55</f>
        <v>2.7171189355516701E-2</v>
      </c>
      <c r="H2070" s="1">
        <f>'[1]Electricity and CHPs_NCAP'!D$55</f>
        <v>3.3386328609919498E-7</v>
      </c>
      <c r="I2070" s="1">
        <f>'[1]Electricity and CHPs_NCAP'!E$55</f>
        <v>6.4287395706221001E-7</v>
      </c>
      <c r="J2070" s="1">
        <f>'[1]Electricity and CHPs_NCAP'!F$55</f>
        <v>9.7041905161852598E-5</v>
      </c>
      <c r="K2070" s="1">
        <f>'[1]Electricity and CHPs_NCAP'!G$55</f>
        <v>1.52270891720641E-7</v>
      </c>
    </row>
    <row r="2071" spans="2:11" x14ac:dyDescent="0.35">
      <c r="B2071" s="5" t="str">
        <f t="shared" si="1293"/>
        <v>SPS4</v>
      </c>
      <c r="C2071" s="5" t="str">
        <f t="shared" si="1290"/>
        <v>CH</v>
      </c>
      <c r="D2071" t="s">
        <v>2223</v>
      </c>
      <c r="E2071" t="str">
        <f t="shared" si="1294"/>
        <v>GWe/yr.</v>
      </c>
      <c r="F2071" s="1">
        <f>'[1]Electricity and CHPs_NCAP'!B$58</f>
        <v>0</v>
      </c>
      <c r="G2071" s="1">
        <f>'[1]Electricity and CHPs_NCAP'!C$58</f>
        <v>0</v>
      </c>
      <c r="H2071" s="1">
        <f>'[1]Electricity and CHPs_NCAP'!D$58</f>
        <v>0</v>
      </c>
      <c r="I2071" s="1">
        <f>'[1]Electricity and CHPs_NCAP'!E$58</f>
        <v>3.0319485863166301E-5</v>
      </c>
      <c r="J2071" s="1">
        <f>'[1]Electricity and CHPs_NCAP'!F$58</f>
        <v>4.53936174137746E-4</v>
      </c>
      <c r="K2071" s="1">
        <f>'[1]Electricity and CHPs_NCAP'!G$58</f>
        <v>0.34785831433557701</v>
      </c>
    </row>
    <row r="2072" spans="2:11" x14ac:dyDescent="0.35">
      <c r="B2072" s="5" t="str">
        <f t="shared" si="1293"/>
        <v>SPS4</v>
      </c>
      <c r="C2072" s="5" t="str">
        <f t="shared" si="1290"/>
        <v>CH</v>
      </c>
      <c r="D2072" t="s">
        <v>2224</v>
      </c>
      <c r="E2072" t="str">
        <f t="shared" si="1294"/>
        <v>GWe/yr.</v>
      </c>
      <c r="F2072" s="1">
        <f t="shared" ref="F2072:K2072" si="1299">SUM(F2073:F2078)</f>
        <v>0</v>
      </c>
      <c r="G2072" s="1">
        <f t="shared" si="1299"/>
        <v>3.4396430088058471E-7</v>
      </c>
      <c r="H2072" s="1">
        <f t="shared" si="1299"/>
        <v>5.1681993900995802E-7</v>
      </c>
      <c r="I2072" s="1">
        <f t="shared" si="1299"/>
        <v>6.8167286420419443E-2</v>
      </c>
      <c r="J2072" s="1">
        <f t="shared" si="1299"/>
        <v>7.8171452344802703E-2</v>
      </c>
      <c r="K2072" s="1">
        <f t="shared" si="1299"/>
        <v>0.12243928767372642</v>
      </c>
    </row>
    <row r="2073" spans="2:11" x14ac:dyDescent="0.35">
      <c r="B2073" s="5" t="str">
        <f t="shared" si="1293"/>
        <v>SPS4</v>
      </c>
      <c r="C2073" s="5" t="str">
        <f t="shared" si="1290"/>
        <v>CH</v>
      </c>
      <c r="D2073" t="s">
        <v>2225</v>
      </c>
      <c r="E2073" t="str">
        <f t="shared" si="1294"/>
        <v>GWe/yr.</v>
      </c>
      <c r="F2073" s="1">
        <f>'[1]Electricity and CHPs_NCAP'!B$19</f>
        <v>0</v>
      </c>
      <c r="G2073" s="1">
        <f>'[1]Electricity and CHPs_NCAP'!C$19</f>
        <v>1.4140920755560999E-7</v>
      </c>
      <c r="H2073" s="1">
        <f>'[1]Electricity and CHPs_NCAP'!D$19</f>
        <v>2.91104309865476E-7</v>
      </c>
      <c r="I2073" s="1">
        <f>'[1]Electricity and CHPs_NCAP'!E$19</f>
        <v>6.7313977252415905E-2</v>
      </c>
      <c r="J2073" s="1">
        <f>'[1]Electricity and CHPs_NCAP'!F$19</f>
        <v>5.6717341951100099E-2</v>
      </c>
      <c r="K2073" s="1">
        <f>'[1]Electricity and CHPs_NCAP'!G$19</f>
        <v>9.1758165270877004E-2</v>
      </c>
    </row>
    <row r="2074" spans="2:11" x14ac:dyDescent="0.35">
      <c r="B2074" s="5" t="str">
        <f t="shared" si="1293"/>
        <v>SPS4</v>
      </c>
      <c r="C2074" s="5" t="str">
        <f t="shared" si="1290"/>
        <v>CH</v>
      </c>
      <c r="D2074" t="s">
        <v>2226</v>
      </c>
      <c r="E2074" t="str">
        <f t="shared" si="1294"/>
        <v>GWe/yr.</v>
      </c>
      <c r="F2074" s="1">
        <f>'[1]Electricity and CHPs_NCAP'!B$20</f>
        <v>0</v>
      </c>
      <c r="G2074" s="1">
        <f>'[1]Electricity and CHPs_NCAP'!C$20</f>
        <v>0</v>
      </c>
      <c r="H2074" s="1">
        <f>'[1]Electricity and CHPs_NCAP'!D$20</f>
        <v>0</v>
      </c>
      <c r="I2074" s="1">
        <f>'[1]Electricity and CHPs_NCAP'!E$20</f>
        <v>0</v>
      </c>
      <c r="J2074" s="1">
        <f>'[1]Electricity and CHPs_NCAP'!F$20</f>
        <v>0</v>
      </c>
      <c r="K2074" s="1">
        <f>'[1]Electricity and CHPs_NCAP'!G$20</f>
        <v>0</v>
      </c>
    </row>
    <row r="2075" spans="2:11" x14ac:dyDescent="0.35">
      <c r="B2075" s="5" t="str">
        <f t="shared" si="1293"/>
        <v>SPS4</v>
      </c>
      <c r="C2075" s="5" t="str">
        <f t="shared" si="1290"/>
        <v>CH</v>
      </c>
      <c r="D2075" t="s">
        <v>2227</v>
      </c>
      <c r="E2075" t="str">
        <f t="shared" si="1294"/>
        <v>GWe/yr.</v>
      </c>
      <c r="F2075" s="1">
        <f>'[1]Electricity and CHPs_NCAP'!B$26</f>
        <v>0</v>
      </c>
      <c r="G2075" s="1">
        <f>'[1]Electricity and CHPs_NCAP'!C$26</f>
        <v>8.4719480912762704E-8</v>
      </c>
      <c r="H2075" s="1">
        <f>'[1]Electricity and CHPs_NCAP'!D$26</f>
        <v>1.12419121192545E-7</v>
      </c>
      <c r="I2075" s="1">
        <f>'[1]Electricity and CHPs_NCAP'!E$26</f>
        <v>2.14401260831819E-7</v>
      </c>
      <c r="J2075" s="1">
        <f>'[1]Electricity and CHPs_NCAP'!F$26</f>
        <v>1.9608569435540499E-2</v>
      </c>
      <c r="K2075" s="1">
        <f>'[1]Electricity and CHPs_NCAP'!G$26</f>
        <v>2.8457169456333701E-2</v>
      </c>
    </row>
    <row r="2076" spans="2:11" x14ac:dyDescent="0.35">
      <c r="B2076" s="5" t="str">
        <f t="shared" si="1293"/>
        <v>SPS4</v>
      </c>
      <c r="C2076" s="5" t="str">
        <f t="shared" si="1290"/>
        <v>CH</v>
      </c>
      <c r="D2076" t="s">
        <v>2228</v>
      </c>
      <c r="E2076" t="str">
        <f t="shared" si="1294"/>
        <v>GWe/yr.</v>
      </c>
      <c r="F2076" s="1">
        <f>'[1]Electricity and CHPs_NCAP'!B$27</f>
        <v>0</v>
      </c>
      <c r="G2076" s="1">
        <f>'[1]Electricity and CHPs_NCAP'!C$27</f>
        <v>0</v>
      </c>
      <c r="H2076" s="1">
        <f>'[1]Electricity and CHPs_NCAP'!D$27</f>
        <v>0</v>
      </c>
      <c r="I2076" s="1">
        <f>'[1]Electricity and CHPs_NCAP'!E$27</f>
        <v>0</v>
      </c>
      <c r="J2076" s="1">
        <f>'[1]Electricity and CHPs_NCAP'!F$27</f>
        <v>0</v>
      </c>
      <c r="K2076" s="1">
        <f>'[1]Electricity and CHPs_NCAP'!G$27</f>
        <v>0</v>
      </c>
    </row>
    <row r="2077" spans="2:11" x14ac:dyDescent="0.35">
      <c r="B2077" s="5" t="str">
        <f t="shared" si="1293"/>
        <v>SPS4</v>
      </c>
      <c r="C2077" s="5" t="str">
        <f t="shared" si="1290"/>
        <v>CH</v>
      </c>
      <c r="D2077" t="s">
        <v>2229</v>
      </c>
      <c r="E2077" t="str">
        <f t="shared" si="1294"/>
        <v>GWe/yr.</v>
      </c>
      <c r="F2077" s="1">
        <f>'[1]Electricity and CHPs_NCAP'!B$44</f>
        <v>0</v>
      </c>
      <c r="G2077" s="1">
        <f>'[1]Electricity and CHPs_NCAP'!C$44</f>
        <v>1.17835612412212E-7</v>
      </c>
      <c r="H2077" s="1">
        <f>'[1]Electricity and CHPs_NCAP'!D$44</f>
        <v>1.13296507951937E-7</v>
      </c>
      <c r="I2077" s="1">
        <f>'[1]Electricity and CHPs_NCAP'!E$44</f>
        <v>8.5309476674271195E-4</v>
      </c>
      <c r="J2077" s="1">
        <f>'[1]Electricity and CHPs_NCAP'!F$44</f>
        <v>1.8455409581620999E-3</v>
      </c>
      <c r="K2077" s="1">
        <f>'[1]Electricity and CHPs_NCAP'!G$44</f>
        <v>2.2239529465157199E-3</v>
      </c>
    </row>
    <row r="2078" spans="2:11" x14ac:dyDescent="0.35">
      <c r="B2078" s="5" t="str">
        <f t="shared" si="1293"/>
        <v>SPS4</v>
      </c>
      <c r="C2078" s="5" t="str">
        <f t="shared" si="1290"/>
        <v>CH</v>
      </c>
      <c r="D2078" t="s">
        <v>2230</v>
      </c>
      <c r="E2078" t="str">
        <f t="shared" si="1294"/>
        <v>GWe/yr.</v>
      </c>
      <c r="F2078" s="1">
        <f>'[1]Electricity and CHPs_NCAP'!B$45</f>
        <v>0</v>
      </c>
      <c r="G2078" s="1">
        <f>'[1]Electricity and CHPs_NCAP'!C$45</f>
        <v>0</v>
      </c>
      <c r="H2078" s="1">
        <f>'[1]Electricity and CHPs_NCAP'!D$45</f>
        <v>0</v>
      </c>
      <c r="I2078" s="1">
        <f>'[1]Electricity and CHPs_NCAP'!E$45</f>
        <v>0</v>
      </c>
      <c r="J2078" s="1">
        <f>'[1]Electricity and CHPs_NCAP'!F$45</f>
        <v>0</v>
      </c>
      <c r="K2078" s="1">
        <f>'[1]Electricity and CHPs_NCAP'!G$45</f>
        <v>0</v>
      </c>
    </row>
    <row r="2079" spans="2:11" x14ac:dyDescent="0.35">
      <c r="B2079" s="5" t="str">
        <f t="shared" si="1293"/>
        <v>SPS4</v>
      </c>
      <c r="C2079" s="5" t="str">
        <f t="shared" si="1290"/>
        <v>CH</v>
      </c>
      <c r="D2079" t="s">
        <v>2231</v>
      </c>
      <c r="E2079" t="str">
        <f t="shared" si="1294"/>
        <v>GWe/yr.</v>
      </c>
      <c r="F2079" s="1">
        <f t="shared" ref="F2079:K2079" si="1300">SUM(F2080:F2086)</f>
        <v>0</v>
      </c>
      <c r="G2079" s="1">
        <f t="shared" si="1300"/>
        <v>1.7608689469753601E-2</v>
      </c>
      <c r="H2079" s="1">
        <f t="shared" si="1300"/>
        <v>2.2690283661246129E-2</v>
      </c>
      <c r="I2079" s="1">
        <f t="shared" si="1300"/>
        <v>5.3238884844180843E-2</v>
      </c>
      <c r="J2079" s="1">
        <f t="shared" si="1300"/>
        <v>6.7107289933466568E-2</v>
      </c>
      <c r="K2079" s="1">
        <f t="shared" si="1300"/>
        <v>0.13214147971195436</v>
      </c>
    </row>
    <row r="2080" spans="2:11" x14ac:dyDescent="0.35">
      <c r="B2080" s="5" t="str">
        <f t="shared" si="1293"/>
        <v>SPS4</v>
      </c>
      <c r="C2080" s="5" t="str">
        <f t="shared" si="1290"/>
        <v>CH</v>
      </c>
      <c r="D2080" t="s">
        <v>2232</v>
      </c>
      <c r="E2080" t="str">
        <f t="shared" si="1294"/>
        <v>GWe/yr.</v>
      </c>
      <c r="F2080" s="1">
        <f>'[1]Electricity and CHPs_NCAP'!B$25</f>
        <v>0</v>
      </c>
      <c r="G2080" s="1">
        <f>'[1]Electricity and CHPs_NCAP'!C$25</f>
        <v>9.7164265503165395E-8</v>
      </c>
      <c r="H2080" s="1">
        <f>'[1]Electricity and CHPs_NCAP'!D$25</f>
        <v>9.6245020403154805E-7</v>
      </c>
      <c r="I2080" s="1">
        <f>'[1]Electricity and CHPs_NCAP'!E$25</f>
        <v>3.7676168134559401E-2</v>
      </c>
      <c r="J2080" s="1">
        <f>'[1]Electricity and CHPs_NCAP'!F$25</f>
        <v>8.1220650990695992E-3</v>
      </c>
      <c r="K2080" s="1">
        <f>'[1]Electricity and CHPs_NCAP'!G$25</f>
        <v>4.8530922314469899E-2</v>
      </c>
    </row>
    <row r="2081" spans="2:11" x14ac:dyDescent="0.35">
      <c r="B2081" s="5" t="str">
        <f t="shared" si="1293"/>
        <v>SPS4</v>
      </c>
      <c r="C2081" s="5" t="str">
        <f t="shared" si="1290"/>
        <v>CH</v>
      </c>
      <c r="D2081" t="s">
        <v>2233</v>
      </c>
      <c r="E2081" t="str">
        <f t="shared" si="1294"/>
        <v>GWe/yr.</v>
      </c>
      <c r="F2081" s="1">
        <f>'[1]Electricity and CHPs_NCAP'!B$31</f>
        <v>0</v>
      </c>
      <c r="G2081" s="1">
        <f>'[1]Electricity and CHPs_NCAP'!C$31</f>
        <v>0</v>
      </c>
      <c r="H2081" s="1">
        <f>'[1]Electricity and CHPs_NCAP'!D$31</f>
        <v>0</v>
      </c>
      <c r="I2081" s="1">
        <f>'[1]Electricity and CHPs_NCAP'!E$31</f>
        <v>0</v>
      </c>
      <c r="J2081" s="1">
        <f>'[1]Electricity and CHPs_NCAP'!F$31</f>
        <v>0</v>
      </c>
      <c r="K2081" s="1">
        <f>'[1]Electricity and CHPs_NCAP'!G$31</f>
        <v>0</v>
      </c>
    </row>
    <row r="2082" spans="2:11" x14ac:dyDescent="0.35">
      <c r="B2082" s="5" t="str">
        <f t="shared" si="1293"/>
        <v>SPS4</v>
      </c>
      <c r="C2082" s="5" t="str">
        <f t="shared" si="1290"/>
        <v>CH</v>
      </c>
      <c r="D2082" t="s">
        <v>2234</v>
      </c>
      <c r="E2082" t="str">
        <f t="shared" si="1294"/>
        <v>GWe/yr.</v>
      </c>
      <c r="F2082" s="1">
        <f>'[1]Electricity and CHPs_NCAP'!B$42</f>
        <v>0</v>
      </c>
      <c r="G2082" s="1">
        <f>'[1]Electricity and CHPs_NCAP'!C$42</f>
        <v>1.7608592305488099E-2</v>
      </c>
      <c r="H2082" s="1">
        <f>'[1]Electricity and CHPs_NCAP'!D$42</f>
        <v>2.2689321211042099E-2</v>
      </c>
      <c r="I2082" s="1">
        <f>'[1]Electricity and CHPs_NCAP'!E$42</f>
        <v>1.52769241172641E-2</v>
      </c>
      <c r="J2082" s="1">
        <f>'[1]Electricity and CHPs_NCAP'!F$42</f>
        <v>5.8910766056287402E-2</v>
      </c>
      <c r="K2082" s="1">
        <f>'[1]Electricity and CHPs_NCAP'!G$42</f>
        <v>8.3509448700531896E-2</v>
      </c>
    </row>
    <row r="2083" spans="2:11" x14ac:dyDescent="0.35">
      <c r="B2083" s="5" t="str">
        <f t="shared" si="1293"/>
        <v>SPS4</v>
      </c>
      <c r="C2083" s="5" t="str">
        <f t="shared" si="1290"/>
        <v>CH</v>
      </c>
      <c r="D2083" t="s">
        <v>2235</v>
      </c>
      <c r="E2083" t="str">
        <f t="shared" si="1294"/>
        <v>GWe/yr.</v>
      </c>
      <c r="F2083" s="1">
        <f>'[1]Electricity and CHPs_NCAP'!B$43</f>
        <v>0</v>
      </c>
      <c r="G2083" s="1">
        <f>'[1]Electricity and CHPs_NCAP'!C$43</f>
        <v>0</v>
      </c>
      <c r="H2083" s="1">
        <f>'[1]Electricity and CHPs_NCAP'!D$43</f>
        <v>0</v>
      </c>
      <c r="I2083" s="1">
        <f>'[1]Electricity and CHPs_NCAP'!E$43</f>
        <v>0</v>
      </c>
      <c r="J2083" s="1">
        <f>'[1]Electricity and CHPs_NCAP'!F$43</f>
        <v>0</v>
      </c>
      <c r="K2083" s="1">
        <f>'[1]Electricity and CHPs_NCAP'!G$43</f>
        <v>0</v>
      </c>
    </row>
    <row r="2084" spans="2:11" x14ac:dyDescent="0.35">
      <c r="B2084" s="5" t="str">
        <f t="shared" si="1293"/>
        <v>SPS4</v>
      </c>
      <c r="C2084" s="5" t="str">
        <f t="shared" si="1290"/>
        <v>CH</v>
      </c>
      <c r="D2084" t="s">
        <v>2236</v>
      </c>
      <c r="E2084" t="str">
        <f t="shared" si="1294"/>
        <v>GWe/yr.</v>
      </c>
      <c r="F2084" s="1">
        <f>'[1]Electricity and CHPs_NCAP'!B$50</f>
        <v>0</v>
      </c>
      <c r="G2084" s="1">
        <f>'[1]Electricity and CHPs_NCAP'!C$50</f>
        <v>0</v>
      </c>
      <c r="H2084" s="1">
        <f>'[1]Electricity and CHPs_NCAP'!D$50</f>
        <v>0</v>
      </c>
      <c r="I2084" s="1">
        <f>'[1]Electricity and CHPs_NCAP'!E$50</f>
        <v>7.3826905613140503E-5</v>
      </c>
      <c r="J2084" s="1">
        <f>'[1]Electricity and CHPs_NCAP'!F$50</f>
        <v>2.3494996671958481E-5</v>
      </c>
      <c r="K2084" s="1">
        <f>'[1]Electricity and CHPs_NCAP'!G$50</f>
        <v>2.9221991286927699E-5</v>
      </c>
    </row>
    <row r="2085" spans="2:11" x14ac:dyDescent="0.35">
      <c r="B2085" s="5" t="str">
        <f t="shared" si="1293"/>
        <v>SPS4</v>
      </c>
      <c r="C2085" s="5" t="str">
        <f t="shared" si="1290"/>
        <v>CH</v>
      </c>
      <c r="D2085" t="s">
        <v>2237</v>
      </c>
      <c r="E2085" t="str">
        <f t="shared" si="1294"/>
        <v>GWe/yr.</v>
      </c>
      <c r="F2085" s="1">
        <f>'[1]Electricity and CHPs_NCAP'!B$53</f>
        <v>0</v>
      </c>
      <c r="G2085" s="1">
        <f>'[1]Electricity and CHPs_NCAP'!C$53</f>
        <v>0</v>
      </c>
      <c r="H2085" s="1">
        <f>'[1]Electricity and CHPs_NCAP'!D$53</f>
        <v>0</v>
      </c>
      <c r="I2085" s="1">
        <f>'[1]Electricity and CHPs_NCAP'!E$53</f>
        <v>1.3304922933148961E-4</v>
      </c>
      <c r="J2085" s="1">
        <f>'[1]Electricity and CHPs_NCAP'!F$53</f>
        <v>2.2856126510629602E-5</v>
      </c>
      <c r="K2085" s="1">
        <f>'[1]Electricity and CHPs_NCAP'!G$53</f>
        <v>5.3286582389991394E-5</v>
      </c>
    </row>
    <row r="2086" spans="2:11" x14ac:dyDescent="0.35">
      <c r="B2086" s="5" t="str">
        <f t="shared" si="1293"/>
        <v>SPS4</v>
      </c>
      <c r="C2086" s="5" t="str">
        <f t="shared" si="1290"/>
        <v>CH</v>
      </c>
      <c r="D2086" t="s">
        <v>2238</v>
      </c>
      <c r="E2086" t="str">
        <f t="shared" si="1294"/>
        <v>GWe/yr.</v>
      </c>
      <c r="F2086" s="1">
        <f>'[1]Electricity and CHPs_NCAP'!B$56</f>
        <v>0</v>
      </c>
      <c r="G2086" s="1">
        <f>'[1]Electricity and CHPs_NCAP'!C$56</f>
        <v>0</v>
      </c>
      <c r="H2086" s="1">
        <f>'[1]Electricity and CHPs_NCAP'!D$56</f>
        <v>0</v>
      </c>
      <c r="I2086" s="1">
        <f>'[1]Electricity and CHPs_NCAP'!E$56</f>
        <v>7.8916457412714396E-5</v>
      </c>
      <c r="J2086" s="1">
        <f>'[1]Electricity and CHPs_NCAP'!F$56</f>
        <v>2.8107654926987798E-5</v>
      </c>
      <c r="K2086" s="1">
        <f>'[1]Electricity and CHPs_NCAP'!G$56</f>
        <v>1.8600123275654101E-5</v>
      </c>
    </row>
    <row r="2087" spans="2:11" x14ac:dyDescent="0.35">
      <c r="B2087" s="5" t="str">
        <f t="shared" si="1293"/>
        <v>SPS4</v>
      </c>
      <c r="C2087" s="5" t="str">
        <f t="shared" si="1290"/>
        <v>CH</v>
      </c>
      <c r="D2087" t="s">
        <v>2239</v>
      </c>
      <c r="E2087" t="str">
        <f t="shared" si="1294"/>
        <v>GWe/yr.</v>
      </c>
      <c r="F2087" s="1">
        <f t="shared" ref="F2087:K2087" si="1301">F2088</f>
        <v>0</v>
      </c>
      <c r="G2087" s="1">
        <f t="shared" si="1301"/>
        <v>7.1321414167784597E-3</v>
      </c>
      <c r="H2087" s="1">
        <f t="shared" si="1301"/>
        <v>0.123893796935977</v>
      </c>
      <c r="I2087" s="1">
        <f t="shared" si="1301"/>
        <v>6.3094352295093301E-5</v>
      </c>
      <c r="J2087" s="1">
        <f t="shared" si="1301"/>
        <v>1.1472340146666001E-5</v>
      </c>
      <c r="K2087" s="1">
        <f t="shared" si="1301"/>
        <v>2.3502420949941598</v>
      </c>
    </row>
    <row r="2088" spans="2:11" x14ac:dyDescent="0.35">
      <c r="B2088" s="5" t="str">
        <f t="shared" si="1293"/>
        <v>SPS4</v>
      </c>
      <c r="C2088" s="5" t="str">
        <f t="shared" si="1290"/>
        <v>CH</v>
      </c>
      <c r="D2088" t="s">
        <v>2240</v>
      </c>
      <c r="E2088" t="str">
        <f t="shared" si="1294"/>
        <v>GWe/yr.</v>
      </c>
      <c r="F2088" s="1">
        <f>'[1]Electricity and CHPs_NCAP'!B$33</f>
        <v>0</v>
      </c>
      <c r="G2088" s="1">
        <f>'[1]Electricity and CHPs_NCAP'!C$33</f>
        <v>7.1321414167784597E-3</v>
      </c>
      <c r="H2088" s="1">
        <f>'[1]Electricity and CHPs_NCAP'!D$33</f>
        <v>0.123893796935977</v>
      </c>
      <c r="I2088" s="1">
        <f>'[1]Electricity and CHPs_NCAP'!E$33</f>
        <v>6.3094352295093301E-5</v>
      </c>
      <c r="J2088" s="1">
        <f>'[1]Electricity and CHPs_NCAP'!F$33</f>
        <v>1.1472340146666001E-5</v>
      </c>
      <c r="K2088" s="1">
        <f>'[1]Electricity and CHPs_NCAP'!G$33</f>
        <v>2.3502420949941598</v>
      </c>
    </row>
    <row r="2089" spans="2:11" x14ac:dyDescent="0.35">
      <c r="B2089" s="5" t="str">
        <f t="shared" si="1293"/>
        <v>SPS4</v>
      </c>
      <c r="C2089" s="5" t="str">
        <f t="shared" si="1290"/>
        <v>CH</v>
      </c>
      <c r="D2089" t="s">
        <v>2241</v>
      </c>
      <c r="E2089" t="str">
        <f t="shared" si="1294"/>
        <v>GWe/yr.</v>
      </c>
      <c r="F2089" s="1">
        <f t="shared" ref="F2089:K2089" si="1302">SUM(F2090:F2094)</f>
        <v>0</v>
      </c>
      <c r="G2089" s="1">
        <f t="shared" si="1302"/>
        <v>2.141693261214989E-5</v>
      </c>
      <c r="H2089" s="1">
        <f t="shared" si="1302"/>
        <v>4.4481236219680893</v>
      </c>
      <c r="I2089" s="1">
        <f t="shared" si="1302"/>
        <v>1.7420951792713521E-5</v>
      </c>
      <c r="J2089" s="1">
        <f t="shared" si="1302"/>
        <v>4.9063226026589595</v>
      </c>
      <c r="K2089" s="1">
        <f t="shared" si="1302"/>
        <v>10.642746381332433</v>
      </c>
    </row>
    <row r="2090" spans="2:11" x14ac:dyDescent="0.35">
      <c r="B2090" s="5" t="str">
        <f t="shared" si="1293"/>
        <v>SPS4</v>
      </c>
      <c r="C2090" s="5" t="str">
        <f t="shared" si="1290"/>
        <v>CH</v>
      </c>
      <c r="D2090" t="s">
        <v>2242</v>
      </c>
      <c r="E2090" t="str">
        <f t="shared" si="1294"/>
        <v>GWe/yr.</v>
      </c>
      <c r="F2090" s="1">
        <f>'[1]Electricity and CHPs_NCAP'!B$34</f>
        <v>0</v>
      </c>
      <c r="G2090" s="1">
        <f>'[1]Electricity and CHPs_NCAP'!C$34</f>
        <v>0</v>
      </c>
      <c r="H2090" s="1">
        <f>'[1]Electricity and CHPs_NCAP'!D$34</f>
        <v>4.49274651833294E-2</v>
      </c>
      <c r="I2090" s="1">
        <f>'[1]Electricity and CHPs_NCAP'!E$34</f>
        <v>5.6671611347919101E-6</v>
      </c>
      <c r="J2090" s="1">
        <f>'[1]Electricity and CHPs_NCAP'!F$34</f>
        <v>0.170545275808275</v>
      </c>
      <c r="K2090" s="1">
        <f>'[1]Electricity and CHPs_NCAP'!G$34</f>
        <v>1.36598410516515</v>
      </c>
    </row>
    <row r="2091" spans="2:11" x14ac:dyDescent="0.35">
      <c r="B2091" s="5" t="str">
        <f t="shared" si="1293"/>
        <v>SPS4</v>
      </c>
      <c r="C2091" s="5" t="str">
        <f t="shared" si="1290"/>
        <v>CH</v>
      </c>
      <c r="D2091" t="s">
        <v>2243</v>
      </c>
      <c r="E2091" t="str">
        <f t="shared" si="1294"/>
        <v>GWe/yr.</v>
      </c>
      <c r="F2091" s="1">
        <f>'[1]Electricity and CHPs_NCAP'!B$35</f>
        <v>0</v>
      </c>
      <c r="G2091" s="1">
        <f>'[1]Electricity and CHPs_NCAP'!C$35</f>
        <v>4.6811846245897602E-8</v>
      </c>
      <c r="H2091" s="1">
        <f>'[1]Electricity and CHPs_NCAP'!D$35</f>
        <v>1.7679674305819799</v>
      </c>
      <c r="I2091" s="1">
        <f>'[1]Electricity and CHPs_NCAP'!E$35</f>
        <v>9.8854598176847396E-6</v>
      </c>
      <c r="J2091" s="1">
        <f>'[1]Electricity and CHPs_NCAP'!F$35</f>
        <v>3.8782966504122598</v>
      </c>
      <c r="K2091" s="1">
        <f>'[1]Electricity and CHPs_NCAP'!G$35</f>
        <v>5.6253798826072101</v>
      </c>
    </row>
    <row r="2092" spans="2:11" x14ac:dyDescent="0.35">
      <c r="B2092" s="5" t="str">
        <f t="shared" si="1293"/>
        <v>SPS4</v>
      </c>
      <c r="C2092" s="5" t="str">
        <f t="shared" si="1290"/>
        <v>CH</v>
      </c>
      <c r="D2092" t="s">
        <v>2244</v>
      </c>
      <c r="E2092" t="str">
        <f t="shared" si="1294"/>
        <v>GWe/yr.</v>
      </c>
      <c r="F2092" s="1">
        <f>'[1]Electricity and CHPs_NCAP'!B$36</f>
        <v>0</v>
      </c>
      <c r="G2092" s="1">
        <f>'[1]Electricity and CHPs_NCAP'!C$36</f>
        <v>1.031121086988166E-5</v>
      </c>
      <c r="H2092" s="1">
        <f>'[1]Electricity and CHPs_NCAP'!D$36</f>
        <v>8.2948474458433041E-4</v>
      </c>
      <c r="I2092" s="1">
        <f>'[1]Electricity and CHPs_NCAP'!E$36</f>
        <v>5.8131600563915304E-7</v>
      </c>
      <c r="J2092" s="1">
        <f>'[1]Electricity and CHPs_NCAP'!F$36</f>
        <v>5.2441283400112136E-5</v>
      </c>
      <c r="K2092" s="1">
        <f>'[1]Electricity and CHPs_NCAP'!G$36</f>
        <v>1.350823394231624E-3</v>
      </c>
    </row>
    <row r="2093" spans="2:11" x14ac:dyDescent="0.35">
      <c r="B2093" s="5" t="str">
        <f t="shared" si="1293"/>
        <v>SPS4</v>
      </c>
      <c r="C2093" s="5" t="str">
        <f t="shared" ref="C2093:C2156" si="1303">C2092</f>
        <v>CH</v>
      </c>
      <c r="D2093" t="s">
        <v>2245</v>
      </c>
      <c r="E2093" t="str">
        <f t="shared" si="1294"/>
        <v>GWe/yr.</v>
      </c>
      <c r="F2093" s="1">
        <f>'[1]Electricity and CHPs_NCAP'!B$37</f>
        <v>0</v>
      </c>
      <c r="G2093" s="1">
        <f>'[1]Electricity and CHPs_NCAP'!C$37</f>
        <v>1.1016017535418841E-5</v>
      </c>
      <c r="H2093" s="1">
        <f>'[1]Electricity and CHPs_NCAP'!D$37</f>
        <v>0.62971276552520572</v>
      </c>
      <c r="I2093" s="1">
        <f>'[1]Electricity and CHPs_NCAP'!E$37</f>
        <v>5.8147843560196501E-7</v>
      </c>
      <c r="J2093" s="1">
        <f>'[1]Electricity and CHPs_NCAP'!F$37</f>
        <v>0.2840292443886388</v>
      </c>
      <c r="K2093" s="1">
        <f>'[1]Electricity and CHPs_NCAP'!G$37</f>
        <v>0.94433629740098102</v>
      </c>
    </row>
    <row r="2094" spans="2:11" x14ac:dyDescent="0.35">
      <c r="B2094" s="5" t="str">
        <f t="shared" si="1293"/>
        <v>SPS4</v>
      </c>
      <c r="C2094" s="5" t="str">
        <f t="shared" si="1303"/>
        <v>CH</v>
      </c>
      <c r="D2094" t="s">
        <v>2246</v>
      </c>
      <c r="E2094" t="str">
        <f t="shared" si="1294"/>
        <v>GWe/yr.</v>
      </c>
      <c r="F2094" s="1">
        <f>'[1]Electricity and CHPs_NCAP'!B$38</f>
        <v>0</v>
      </c>
      <c r="G2094" s="1">
        <f>'[1]Electricity and CHPs_NCAP'!C$38</f>
        <v>4.2892360603492903E-8</v>
      </c>
      <c r="H2094" s="1">
        <f>'[1]Electricity and CHPs_NCAP'!D$38</f>
        <v>2.0046864759329899</v>
      </c>
      <c r="I2094" s="1">
        <f>'[1]Electricity and CHPs_NCAP'!E$38</f>
        <v>7.0553639899575305E-7</v>
      </c>
      <c r="J2094" s="1">
        <f>'[1]Electricity and CHPs_NCAP'!F$38</f>
        <v>0.57339899076638601</v>
      </c>
      <c r="K2094" s="1">
        <f>'[1]Electricity and CHPs_NCAP'!G$38</f>
        <v>2.70569527276486</v>
      </c>
    </row>
    <row r="2095" spans="2:11" x14ac:dyDescent="0.35">
      <c r="B2095" s="5" t="str">
        <f t="shared" si="1293"/>
        <v>SPS4</v>
      </c>
      <c r="C2095" s="5" t="str">
        <f t="shared" si="1303"/>
        <v>CH</v>
      </c>
      <c r="D2095" t="s">
        <v>2247</v>
      </c>
      <c r="E2095" t="str">
        <f t="shared" si="1294"/>
        <v>GWe/yr.</v>
      </c>
      <c r="F2095" s="1">
        <f>'[1]Electricity and CHPs_NCAP'!B$32</f>
        <v>0</v>
      </c>
      <c r="G2095" s="1">
        <f>'[1]Electricity and CHPs_NCAP'!C$32</f>
        <v>0</v>
      </c>
      <c r="H2095" s="1">
        <f>'[1]Electricity and CHPs_NCAP'!D$32</f>
        <v>0</v>
      </c>
      <c r="I2095" s="1">
        <f>'[1]Electricity and CHPs_NCAP'!E$32</f>
        <v>0</v>
      </c>
      <c r="J2095" s="1">
        <f>'[1]Electricity and CHPs_NCAP'!F$32</f>
        <v>9.2859915283274798E-4</v>
      </c>
      <c r="K2095" s="1">
        <f>'[1]Electricity and CHPs_NCAP'!G$32</f>
        <v>5.6445756285628096E-6</v>
      </c>
    </row>
    <row r="2096" spans="2:11" x14ac:dyDescent="0.35">
      <c r="B2096" s="5" t="str">
        <f t="shared" si="1293"/>
        <v>SPS4</v>
      </c>
      <c r="C2096" s="5" t="str">
        <f t="shared" si="1303"/>
        <v>CH</v>
      </c>
      <c r="D2096" t="s">
        <v>2248</v>
      </c>
      <c r="E2096" t="str">
        <f t="shared" si="1294"/>
        <v>GWe/yr.</v>
      </c>
      <c r="F2096" s="1">
        <f t="shared" si="1294"/>
        <v>0</v>
      </c>
      <c r="G2096" s="1">
        <f t="shared" si="1294"/>
        <v>0</v>
      </c>
      <c r="H2096" s="1">
        <f t="shared" si="1294"/>
        <v>0</v>
      </c>
      <c r="I2096" s="1">
        <f t="shared" si="1294"/>
        <v>0</v>
      </c>
      <c r="J2096" s="1">
        <f t="shared" si="1294"/>
        <v>9.2859915283274798E-4</v>
      </c>
      <c r="K2096" s="1">
        <f t="shared" si="1294"/>
        <v>5.6445756285628096E-6</v>
      </c>
    </row>
    <row r="2097" spans="2:11" x14ac:dyDescent="0.35">
      <c r="B2097" s="5" t="str">
        <f t="shared" si="1293"/>
        <v>SPS4</v>
      </c>
      <c r="C2097" s="5" t="str">
        <f t="shared" si="1303"/>
        <v>CH</v>
      </c>
      <c r="D2097" t="s">
        <v>2249</v>
      </c>
      <c r="E2097" t="str">
        <f t="shared" ref="E2097:E2108" si="1304">E2096</f>
        <v>GWe/yr.</v>
      </c>
      <c r="F2097" s="1">
        <f t="shared" ref="F2097:K2097" si="1305">SUM(F2098:F2100)</f>
        <v>0</v>
      </c>
      <c r="G2097" s="1">
        <f t="shared" si="1305"/>
        <v>0</v>
      </c>
      <c r="H2097" s="1">
        <f t="shared" si="1305"/>
        <v>0</v>
      </c>
      <c r="I2097" s="1">
        <f t="shared" si="1305"/>
        <v>0</v>
      </c>
      <c r="J2097" s="1">
        <f t="shared" si="1305"/>
        <v>0</v>
      </c>
      <c r="K2097" s="1">
        <f t="shared" si="1305"/>
        <v>0</v>
      </c>
    </row>
    <row r="2098" spans="2:11" x14ac:dyDescent="0.35">
      <c r="B2098" s="5" t="str">
        <f t="shared" si="1293"/>
        <v>SPS4</v>
      </c>
      <c r="C2098" s="5" t="str">
        <f t="shared" si="1303"/>
        <v>CH</v>
      </c>
      <c r="D2098" t="s">
        <v>2250</v>
      </c>
      <c r="E2098" t="str">
        <f t="shared" si="1304"/>
        <v>GWe/yr.</v>
      </c>
      <c r="F2098" s="1">
        <f>'[1]Electricity and CHPs_NCAP'!B$30</f>
        <v>0</v>
      </c>
      <c r="G2098" s="1">
        <f>'[1]Electricity and CHPs_NCAP'!C$30</f>
        <v>0</v>
      </c>
      <c r="H2098" s="1">
        <f>'[1]Electricity and CHPs_NCAP'!D$30</f>
        <v>0</v>
      </c>
      <c r="I2098" s="1">
        <f>'[1]Electricity and CHPs_NCAP'!E$30</f>
        <v>0</v>
      </c>
      <c r="J2098" s="1">
        <f>'[1]Electricity and CHPs_NCAP'!F$30</f>
        <v>0</v>
      </c>
      <c r="K2098" s="1">
        <f>'[1]Electricity and CHPs_NCAP'!G$30</f>
        <v>0</v>
      </c>
    </row>
    <row r="2099" spans="2:11" x14ac:dyDescent="0.35">
      <c r="B2099" s="5" t="str">
        <f t="shared" si="1293"/>
        <v>SPS4</v>
      </c>
      <c r="C2099" s="5" t="str">
        <f t="shared" si="1303"/>
        <v>CH</v>
      </c>
      <c r="D2099" t="s">
        <v>2251</v>
      </c>
      <c r="E2099" t="str">
        <f t="shared" si="1304"/>
        <v>GWe/yr.</v>
      </c>
      <c r="F2099" s="1">
        <f>'[1]Electricity and CHPs_NCAP'!B$46</f>
        <v>0</v>
      </c>
      <c r="G2099" s="1">
        <f>'[1]Electricity and CHPs_NCAP'!C$46</f>
        <v>0</v>
      </c>
      <c r="H2099" s="1">
        <f>'[1]Electricity and CHPs_NCAP'!D$46</f>
        <v>0</v>
      </c>
      <c r="I2099" s="1">
        <f>'[1]Electricity and CHPs_NCAP'!E$46</f>
        <v>0</v>
      </c>
      <c r="J2099" s="1">
        <f>'[1]Electricity and CHPs_NCAP'!F$46</f>
        <v>0</v>
      </c>
      <c r="K2099" s="1">
        <f>'[1]Electricity and CHPs_NCAP'!G$46</f>
        <v>0</v>
      </c>
    </row>
    <row r="2100" spans="2:11" x14ac:dyDescent="0.35">
      <c r="B2100" s="5" t="str">
        <f t="shared" si="1293"/>
        <v>SPS4</v>
      </c>
      <c r="C2100" s="5" t="str">
        <f t="shared" si="1303"/>
        <v>CH</v>
      </c>
      <c r="D2100" t="s">
        <v>2252</v>
      </c>
      <c r="E2100" t="str">
        <f t="shared" si="1304"/>
        <v>GWe/yr.</v>
      </c>
      <c r="F2100" s="1">
        <f>'[1]Electricity and CHPs_NCAP'!B$57</f>
        <v>0</v>
      </c>
      <c r="G2100" s="1">
        <f>'[1]Electricity and CHPs_NCAP'!C$57</f>
        <v>0</v>
      </c>
      <c r="H2100" s="1">
        <f>'[1]Electricity and CHPs_NCAP'!D$57</f>
        <v>0</v>
      </c>
      <c r="I2100" s="1">
        <f>'[1]Electricity and CHPs_NCAP'!E$57</f>
        <v>0</v>
      </c>
      <c r="J2100" s="1">
        <f>'[1]Electricity and CHPs_NCAP'!F$57</f>
        <v>0</v>
      </c>
      <c r="K2100" s="1">
        <f>'[1]Electricity and CHPs_NCAP'!G$57</f>
        <v>0</v>
      </c>
    </row>
    <row r="2101" spans="2:11" x14ac:dyDescent="0.35">
      <c r="B2101" s="5" t="str">
        <f t="shared" si="1293"/>
        <v>SPS4</v>
      </c>
      <c r="C2101" s="5" t="str">
        <f t="shared" si="1303"/>
        <v>CH</v>
      </c>
      <c r="D2101" t="s">
        <v>2253</v>
      </c>
      <c r="E2101" t="str">
        <f t="shared" si="1304"/>
        <v>GWe/yr.</v>
      </c>
      <c r="F2101" s="1">
        <f t="shared" ref="F2101:K2101" si="1306">SUM(F2102:F2108)</f>
        <v>3.4920558467618728E-3</v>
      </c>
      <c r="G2101" s="1">
        <f t="shared" si="1306"/>
        <v>5.481246999191338E-6</v>
      </c>
      <c r="H2101" s="1">
        <f t="shared" si="1306"/>
        <v>1.728241043123086E-5</v>
      </c>
      <c r="I2101" s="1">
        <f t="shared" si="1306"/>
        <v>9.4667389157767609E-2</v>
      </c>
      <c r="J2101" s="1">
        <f t="shared" si="1306"/>
        <v>0.1484831072919626</v>
      </c>
      <c r="K2101" s="1">
        <f t="shared" si="1306"/>
        <v>0.32276754199666385</v>
      </c>
    </row>
    <row r="2102" spans="2:11" x14ac:dyDescent="0.35">
      <c r="B2102" s="5" t="str">
        <f t="shared" si="1293"/>
        <v>SPS4</v>
      </c>
      <c r="C2102" s="5" t="str">
        <f t="shared" si="1303"/>
        <v>CH</v>
      </c>
      <c r="D2102" t="s">
        <v>2254</v>
      </c>
      <c r="E2102" t="str">
        <f t="shared" si="1304"/>
        <v>GWe/yr.</v>
      </c>
      <c r="F2102" s="1">
        <f>'[1]Electricity and CHPs_NCAP'!B$63</f>
        <v>0</v>
      </c>
      <c r="G2102" s="1">
        <f>'[1]Electricity and CHPs_NCAP'!C$63</f>
        <v>2.4109371520882398E-7</v>
      </c>
      <c r="H2102" s="1">
        <f>'[1]Electricity and CHPs_NCAP'!D$63</f>
        <v>2.6130472065303902E-7</v>
      </c>
      <c r="I2102" s="1">
        <f>'[1]Electricity and CHPs_NCAP'!E$63</f>
        <v>2.6681208096196401E-7</v>
      </c>
      <c r="J2102" s="1">
        <f>'[1]Electricity and CHPs_NCAP'!F$63</f>
        <v>7.8519463025142597E-7</v>
      </c>
      <c r="K2102" s="1">
        <f>'[1]Electricity and CHPs_NCAP'!G$63</f>
        <v>6.2349467859868798E-7</v>
      </c>
    </row>
    <row r="2103" spans="2:11" x14ac:dyDescent="0.35">
      <c r="B2103" s="5" t="str">
        <f t="shared" si="1293"/>
        <v>SPS4</v>
      </c>
      <c r="C2103" s="5" t="str">
        <f t="shared" si="1303"/>
        <v>CH</v>
      </c>
      <c r="D2103" t="s">
        <v>2255</v>
      </c>
      <c r="E2103" t="str">
        <f t="shared" si="1304"/>
        <v>GWe/yr.</v>
      </c>
      <c r="F2103" s="1">
        <f>'[1]Electricity and CHPs_NCAP'!B$64</f>
        <v>5.9779626547404698E-4</v>
      </c>
      <c r="G2103" s="1">
        <f>'[1]Electricity and CHPs_NCAP'!C$64</f>
        <v>7.9254287195896E-7</v>
      </c>
      <c r="H2103" s="1">
        <f>'[1]Electricity and CHPs_NCAP'!D$64</f>
        <v>3.7176479628452702E-6</v>
      </c>
      <c r="I2103" s="1">
        <f>'[1]Electricity and CHPs_NCAP'!E$64</f>
        <v>1.04501147925366E-4</v>
      </c>
      <c r="J2103" s="1">
        <f>'[1]Electricity and CHPs_NCAP'!F$64</f>
        <v>3.3954663729012E-2</v>
      </c>
      <c r="K2103" s="1">
        <f>'[1]Electricity and CHPs_NCAP'!G$64</f>
        <v>0.17864861664326301</v>
      </c>
    </row>
    <row r="2104" spans="2:11" x14ac:dyDescent="0.35">
      <c r="B2104" s="5" t="str">
        <f t="shared" si="1293"/>
        <v>SPS4</v>
      </c>
      <c r="C2104" s="5" t="str">
        <f t="shared" si="1303"/>
        <v>CH</v>
      </c>
      <c r="D2104" t="s">
        <v>2256</v>
      </c>
      <c r="E2104" t="str">
        <f t="shared" si="1304"/>
        <v>GWe/yr.</v>
      </c>
      <c r="F2104" s="1">
        <f>'[1]Electricity and CHPs_NCAP'!B$65</f>
        <v>4.4044716866207298E-4</v>
      </c>
      <c r="G2104" s="1">
        <f>'[1]Electricity and CHPs_NCAP'!C$65</f>
        <v>5.9125584552399605E-7</v>
      </c>
      <c r="H2104" s="1">
        <f>'[1]Electricity and CHPs_NCAP'!D$65</f>
        <v>2.56309073624786E-6</v>
      </c>
      <c r="I2104" s="1">
        <f>'[1]Electricity and CHPs_NCAP'!E$65</f>
        <v>9.0245385039178398E-5</v>
      </c>
      <c r="J2104" s="1">
        <f>'[1]Electricity and CHPs_NCAP'!F$65</f>
        <v>1.9360412115459E-3</v>
      </c>
      <c r="K2104" s="1">
        <f>'[1]Electricity and CHPs_NCAP'!G$65</f>
        <v>4.4372109405844797E-3</v>
      </c>
    </row>
    <row r="2105" spans="2:11" x14ac:dyDescent="0.35">
      <c r="B2105" s="5" t="str">
        <f t="shared" si="1293"/>
        <v>SPS4</v>
      </c>
      <c r="C2105" s="5" t="str">
        <f t="shared" si="1303"/>
        <v>CH</v>
      </c>
      <c r="D2105" t="s">
        <v>2257</v>
      </c>
      <c r="E2105" t="str">
        <f t="shared" si="1304"/>
        <v>GWe/yr.</v>
      </c>
      <c r="F2105" s="1">
        <f>'[1]Electricity and CHPs_NCAP'!B$66</f>
        <v>4.0921194264676E-4</v>
      </c>
      <c r="G2105" s="1">
        <f>'[1]Electricity and CHPs_NCAP'!C$66</f>
        <v>6.4242104872523405E-7</v>
      </c>
      <c r="H2105" s="1">
        <f>'[1]Electricity and CHPs_NCAP'!D$66</f>
        <v>1.7098000690103599E-6</v>
      </c>
      <c r="I2105" s="1">
        <f>'[1]Electricity and CHPs_NCAP'!E$66</f>
        <v>1.8911747349399301E-2</v>
      </c>
      <c r="J2105" s="1">
        <f>'[1]Electricity and CHPs_NCAP'!F$66</f>
        <v>8.9916552576000994E-2</v>
      </c>
      <c r="K2105" s="1">
        <f>'[1]Electricity and CHPs_NCAP'!G$66</f>
        <v>0.12428152468563</v>
      </c>
    </row>
    <row r="2106" spans="2:11" x14ac:dyDescent="0.35">
      <c r="B2106" s="5" t="str">
        <f t="shared" si="1293"/>
        <v>SPS4</v>
      </c>
      <c r="C2106" s="5" t="str">
        <f t="shared" si="1303"/>
        <v>CH</v>
      </c>
      <c r="D2106" t="s">
        <v>2258</v>
      </c>
      <c r="E2106" t="str">
        <f t="shared" si="1304"/>
        <v>GWe/yr.</v>
      </c>
      <c r="F2106" s="1">
        <f>'[1]Electricity and CHPs_NCAP'!B$67</f>
        <v>8.170924437266591E-4</v>
      </c>
      <c r="G2106" s="1">
        <f>'[1]Electricity and CHPs_NCAP'!C$67</f>
        <v>1.2849166316682891E-6</v>
      </c>
      <c r="H2106" s="1">
        <f>'[1]Electricity and CHPs_NCAP'!D$67</f>
        <v>3.6568796615441199E-6</v>
      </c>
      <c r="I2106" s="1">
        <f>'[1]Electricity and CHPs_NCAP'!E$67</f>
        <v>2.9366514185569001E-2</v>
      </c>
      <c r="J2106" s="1">
        <f>'[1]Electricity and CHPs_NCAP'!F$67</f>
        <v>6.7816477943451001E-3</v>
      </c>
      <c r="K2106" s="1">
        <f>'[1]Electricity and CHPs_NCAP'!G$67</f>
        <v>6.6307857338973901E-3</v>
      </c>
    </row>
    <row r="2107" spans="2:11" x14ac:dyDescent="0.35">
      <c r="B2107" s="5" t="str">
        <f t="shared" si="1293"/>
        <v>SPS4</v>
      </c>
      <c r="C2107" s="5" t="str">
        <f t="shared" si="1303"/>
        <v>CH</v>
      </c>
      <c r="D2107" t="s">
        <v>2259</v>
      </c>
      <c r="E2107" t="str">
        <f t="shared" si="1304"/>
        <v>GWe/yr.</v>
      </c>
      <c r="F2107" s="1">
        <f>'[1]Electricity and CHPs_NCAP'!B$68</f>
        <v>8.1688256236264593E-4</v>
      </c>
      <c r="G2107" s="1">
        <f>'[1]Electricity and CHPs_NCAP'!C$68</f>
        <v>1.2848336556964929E-6</v>
      </c>
      <c r="H2107" s="1">
        <f>'[1]Electricity and CHPs_NCAP'!D$68</f>
        <v>3.6539480813164398E-6</v>
      </c>
      <c r="I2107" s="1">
        <f>'[1]Electricity and CHPs_NCAP'!E$68</f>
        <v>2.94579307207395E-2</v>
      </c>
      <c r="J2107" s="1">
        <f>'[1]Electricity and CHPs_NCAP'!F$68</f>
        <v>8.7166371547065594E-3</v>
      </c>
      <c r="K2107" s="1">
        <f>'[1]Electricity and CHPs_NCAP'!G$68</f>
        <v>5.6506840333631998E-3</v>
      </c>
    </row>
    <row r="2108" spans="2:11" x14ac:dyDescent="0.35">
      <c r="B2108" s="5" t="str">
        <f t="shared" si="1293"/>
        <v>SPS4</v>
      </c>
      <c r="C2108" s="5" t="str">
        <f t="shared" si="1303"/>
        <v>CH</v>
      </c>
      <c r="D2108" t="s">
        <v>2260</v>
      </c>
      <c r="E2108" t="str">
        <f t="shared" si="1304"/>
        <v>GWe/yr.</v>
      </c>
      <c r="F2108" s="1">
        <f>'[1]Electricity and CHPs_NCAP'!B$69</f>
        <v>4.1062546388968802E-4</v>
      </c>
      <c r="G2108" s="1">
        <f>'[1]Electricity and CHPs_NCAP'!C$69</f>
        <v>6.4418323040954197E-7</v>
      </c>
      <c r="H2108" s="1">
        <f>'[1]Electricity and CHPs_NCAP'!D$69</f>
        <v>1.7197391996137701E-6</v>
      </c>
      <c r="I2108" s="1">
        <f>'[1]Electricity and CHPs_NCAP'!E$69</f>
        <v>1.6736183557014301E-2</v>
      </c>
      <c r="J2108" s="1">
        <f>'[1]Electricity and CHPs_NCAP'!F$69</f>
        <v>7.1767796317218002E-3</v>
      </c>
      <c r="K2108" s="1">
        <f>'[1]Electricity and CHPs_NCAP'!G$69</f>
        <v>3.1180964652471302E-3</v>
      </c>
    </row>
    <row r="2109" spans="2:11" x14ac:dyDescent="0.35">
      <c r="B2109" s="5" t="str">
        <f t="shared" si="1293"/>
        <v>SPS4</v>
      </c>
      <c r="C2109" s="5" t="str">
        <f t="shared" si="1303"/>
        <v>CH</v>
      </c>
      <c r="D2109" s="2" t="s">
        <v>2182</v>
      </c>
      <c r="E2109" s="2" t="s">
        <v>1973</v>
      </c>
      <c r="F2109" s="3">
        <f t="shared" ref="F2109:K2109" si="1307">SUM(F2110:F2159)</f>
        <v>3.3433971097980792E-4</v>
      </c>
      <c r="G2109" s="3">
        <f t="shared" si="1307"/>
        <v>0.4748400684869456</v>
      </c>
      <c r="H2109" s="3">
        <f t="shared" si="1307"/>
        <v>0.90288002132086365</v>
      </c>
      <c r="I2109" s="3">
        <f t="shared" si="1307"/>
        <v>2.3477769708475282</v>
      </c>
      <c r="J2109" s="3">
        <f t="shared" si="1307"/>
        <v>2.2383949466119915</v>
      </c>
      <c r="K2109" s="3">
        <f t="shared" si="1307"/>
        <v>4.8272844907425512</v>
      </c>
    </row>
    <row r="2110" spans="2:11" x14ac:dyDescent="0.35">
      <c r="B2110" s="5" t="str">
        <f t="shared" ref="B2110:B2173" si="1308">B2109</f>
        <v>SPS4</v>
      </c>
      <c r="C2110" s="5" t="str">
        <f t="shared" si="1303"/>
        <v>CH</v>
      </c>
      <c r="D2110" t="s">
        <v>2261</v>
      </c>
      <c r="E2110" t="str">
        <f t="shared" ref="E2110:E2159" si="1309">E2109</f>
        <v>Million</v>
      </c>
      <c r="F2110" s="1" cm="1">
        <f t="array" ref="F2110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0" s="1" cm="1">
        <f t="array" ref="G2110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0" s="1" cm="1">
        <f t="array" ref="H2110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0" s="1" cm="1">
        <f t="array" ref="I2110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0" s="1" cm="1">
        <f t="array" ref="J2110">SUMPRODUCT(("var_ncap"=[1]OUT_TransportEnergyCons!$B$4:$B$10000)*1,("-"=[1]OUT_TransportEnergyCons!$C$4:$C$10000)*1,ISNUMBER(SEARCH("T_C*bat*ext",[1]OUT_TransportEnergyCons!$A$4:$A$10000))*1,[1]OUT_TransportEnergyCons!H$4:H$10000)</f>
        <v>0</v>
      </c>
      <c r="K2110" s="1" cm="1">
        <f t="array" ref="K2110">SUMPRODUCT(("var_ncap"=[1]OUT_TransportEnergyCons!$B$4:$B$10000)*1,("-"=[1]OUT_TransportEnergyCons!$C$4:$C$10000)*1,ISNUMBER(SEARCH("T_C*bat*ext",[1]OUT_TransportEnergyCons!$A$4:$A$10000))*1,[1]OUT_TransportEnergyCons!I$4:I$10000)</f>
        <v>0</v>
      </c>
    </row>
    <row r="2111" spans="2:11" x14ac:dyDescent="0.35">
      <c r="B2111" s="5" t="str">
        <f t="shared" si="1308"/>
        <v>SPS4</v>
      </c>
      <c r="C2111" s="5" t="str">
        <f t="shared" si="1303"/>
        <v>CH</v>
      </c>
      <c r="D2111" t="s">
        <v>2262</v>
      </c>
      <c r="E2111" t="str">
        <f t="shared" si="1309"/>
        <v>Million</v>
      </c>
      <c r="F2111" s="1" cm="1">
        <f t="array" ref="F2111">SUMPRODUCT(("var_ncap"=[1]OUT_TransportEnergyCons!$B$4:$B$10000)*1,("-"=[1]OUT_TransportEnergyCons!$C$4:$C$10000)*1,ISNUMBER(SEARCH("T_C*bat*s1",[1]OUT_TransportEnergyCons!$A$4:$A$10000))*1,[1]OUT_TransportEnergyCons!D$4:D$10000)</f>
        <v>5.9561573342802598E-5</v>
      </c>
      <c r="G2111" s="1" cm="1">
        <f t="array" ref="G2111">SUMPRODUCT(("var_ncap"=[1]OUT_TransportEnergyCons!$B$4:$B$10000)*1,("-"=[1]OUT_TransportEnergyCons!$C$4:$C$10000)*1,ISNUMBER(SEARCH("T_C*bat*s1",[1]OUT_TransportEnergyCons!$A$4:$A$10000))*1,[1]OUT_TransportEnergyCons!E$4:E$10000)</f>
        <v>5.5171369089442198E-4</v>
      </c>
      <c r="H2111" s="1" cm="1">
        <f t="array" ref="H2111">SUMPRODUCT(("var_ncap"=[1]OUT_TransportEnergyCons!$B$4:$B$10000)*1,("-"=[1]OUT_TransportEnergyCons!$C$4:$C$10000)*1,ISNUMBER(SEARCH("T_C*bat*s1",[1]OUT_TransportEnergyCons!$A$4:$A$10000))*1,[1]OUT_TransportEnergyCons!F$4:F$10000)</f>
        <v>3.8451898740192903E-4</v>
      </c>
      <c r="I2111" s="1" cm="1">
        <f t="array" ref="I2111">SUMPRODUCT(("var_ncap"=[1]OUT_TransportEnergyCons!$B$4:$B$10000)*1,("-"=[1]OUT_TransportEnergyCons!$C$4:$C$10000)*1,ISNUMBER(SEARCH("T_C*bat*s1",[1]OUT_TransportEnergyCons!$A$4:$A$10000))*1,[1]OUT_TransportEnergyCons!G$4:G$10000)</f>
        <v>1.3450803065625399E-4</v>
      </c>
      <c r="J2111" s="1" cm="1">
        <f t="array" ref="J2111">SUMPRODUCT(("var_ncap"=[1]OUT_TransportEnergyCons!$B$4:$B$10000)*1,("-"=[1]OUT_TransportEnergyCons!$C$4:$C$10000)*1,ISNUMBER(SEARCH("T_C*bat*s1",[1]OUT_TransportEnergyCons!$A$4:$A$10000))*1,[1]OUT_TransportEnergyCons!H$4:H$10000)</f>
        <v>1.1952318593714E-2</v>
      </c>
      <c r="K2111" s="1" cm="1">
        <f t="array" ref="K2111">SUMPRODUCT(("var_ncap"=[1]OUT_TransportEnergyCons!$B$4:$B$10000)*1,("-"=[1]OUT_TransportEnergyCons!$C$4:$C$10000)*1,ISNUMBER(SEARCH("T_C*bat*s1",[1]OUT_TransportEnergyCons!$A$4:$A$10000))*1,[1]OUT_TransportEnergyCons!I$4:I$10000)</f>
        <v>0.29533195550177199</v>
      </c>
    </row>
    <row r="2112" spans="2:11" x14ac:dyDescent="0.35">
      <c r="B2112" s="5" t="str">
        <f t="shared" si="1308"/>
        <v>SPS4</v>
      </c>
      <c r="C2112" s="5" t="str">
        <f t="shared" si="1303"/>
        <v>CH</v>
      </c>
      <c r="D2112" t="s">
        <v>2263</v>
      </c>
      <c r="E2112" t="str">
        <f t="shared" si="1309"/>
        <v>Million</v>
      </c>
      <c r="F2112" s="1" cm="1">
        <f t="array" ref="F2112">SUMPRODUCT(("var_ncap"=[1]OUT_TransportEnergyCons!$B$4:$B$10000)*1,("-"=[1]OUT_TransportEnergyCons!$C$4:$C$10000)*1,ISNUMBER(SEARCH("T_C*bat*s2",[1]OUT_TransportEnergyCons!$A$4:$A$10000))*1,[1]OUT_TransportEnergyCons!D$4:D$10000)</f>
        <v>7.2110484781625906E-5</v>
      </c>
      <c r="G2112" s="1" cm="1">
        <f t="array" ref="G2112">SUMPRODUCT(("var_ncap"=[1]OUT_TransportEnergyCons!$B$4:$B$10000)*1,("-"=[1]OUT_TransportEnergyCons!$C$4:$C$10000)*1,ISNUMBER(SEARCH("T_C*bat*s2",[1]OUT_TransportEnergyCons!$A$4:$A$10000))*1,[1]OUT_TransportEnergyCons!E$4:E$10000)</f>
        <v>2.0680818002912299E-4</v>
      </c>
      <c r="H2112" s="1" cm="1">
        <f t="array" ref="H2112">SUMPRODUCT(("var_ncap"=[1]OUT_TransportEnergyCons!$B$4:$B$10000)*1,("-"=[1]OUT_TransportEnergyCons!$C$4:$C$10000)*1,ISNUMBER(SEARCH("T_C*bat*s2",[1]OUT_TransportEnergyCons!$A$4:$A$10000))*1,[1]OUT_TransportEnergyCons!F$4:F$10000)</f>
        <v>0.104862032326967</v>
      </c>
      <c r="I2112" s="1" cm="1">
        <f t="array" ref="I2112">SUMPRODUCT(("var_ncap"=[1]OUT_TransportEnergyCons!$B$4:$B$10000)*1,("-"=[1]OUT_TransportEnergyCons!$C$4:$C$10000)*1,ISNUMBER(SEARCH("T_C*bat*s2",[1]OUT_TransportEnergyCons!$A$4:$A$10000))*1,[1]OUT_TransportEnergyCons!G$4:G$10000)</f>
        <v>0.59044320402523998</v>
      </c>
      <c r="J2112" s="1" cm="1">
        <f t="array" ref="J2112">SUMPRODUCT(("var_ncap"=[1]OUT_TransportEnergyCons!$B$4:$B$10000)*1,("-"=[1]OUT_TransportEnergyCons!$C$4:$C$10000)*1,ISNUMBER(SEARCH("T_C*bat*s2",[1]OUT_TransportEnergyCons!$A$4:$A$10000))*1,[1]OUT_TransportEnergyCons!H$4:H$10000)</f>
        <v>0.80606222674304895</v>
      </c>
      <c r="K2112" s="1" cm="1">
        <f t="array" ref="K2112">SUMPRODUCT(("var_ncap"=[1]OUT_TransportEnergyCons!$B$4:$B$10000)*1,("-"=[1]OUT_TransportEnergyCons!$C$4:$C$10000)*1,ISNUMBER(SEARCH("T_C*bat*s2",[1]OUT_TransportEnergyCons!$A$4:$A$10000))*1,[1]OUT_TransportEnergyCons!I$4:I$10000)</f>
        <v>1.15899406879363</v>
      </c>
    </row>
    <row r="2113" spans="2:11" x14ac:dyDescent="0.35">
      <c r="B2113" s="5" t="str">
        <f t="shared" si="1308"/>
        <v>SPS4</v>
      </c>
      <c r="C2113" s="5" t="str">
        <f t="shared" si="1303"/>
        <v>CH</v>
      </c>
      <c r="D2113" t="s">
        <v>2264</v>
      </c>
      <c r="E2113" t="str">
        <f t="shared" si="1309"/>
        <v>Million</v>
      </c>
      <c r="F2113" s="1" cm="1">
        <f t="array" ref="F2113">SUMPRODUCT(("var_ncap"=[1]OUT_TransportEnergyCons!$B$4:$B$10000)*1,("-"=[1]OUT_TransportEnergyCons!$C$4:$C$10000)*1,ISNUMBER(SEARCH("T_C*bat*s3",[1]OUT_TransportEnergyCons!$A$4:$A$10000))*1,[1]OUT_TransportEnergyCons!D$4:D$10000)</f>
        <v>5.6122816121929398E-5</v>
      </c>
      <c r="G2113" s="1" cm="1">
        <f t="array" ref="G2113">SUMPRODUCT(("var_ncap"=[1]OUT_TransportEnergyCons!$B$4:$B$10000)*1,("-"=[1]OUT_TransportEnergyCons!$C$4:$C$10000)*1,ISNUMBER(SEARCH("T_C*bat*s3",[1]OUT_TransportEnergyCons!$A$4:$A$10000))*1,[1]OUT_TransportEnergyCons!E$4:E$10000)</f>
        <v>2.7434303285213701E-3</v>
      </c>
      <c r="H2113" s="1" cm="1">
        <f t="array" ref="H2113">SUMPRODUCT(("var_ncap"=[1]OUT_TransportEnergyCons!$B$4:$B$10000)*1,("-"=[1]OUT_TransportEnergyCons!$C$4:$C$10000)*1,ISNUMBER(SEARCH("T_C*bat*s3",[1]OUT_TransportEnergyCons!$A$4:$A$10000))*1,[1]OUT_TransportEnergyCons!F$4:F$10000)</f>
        <v>4.1704016293081098E-3</v>
      </c>
      <c r="I2113" s="1" cm="1">
        <f t="array" ref="I2113">SUMPRODUCT(("var_ncap"=[1]OUT_TransportEnergyCons!$B$4:$B$10000)*1,("-"=[1]OUT_TransportEnergyCons!$C$4:$C$10000)*1,ISNUMBER(SEARCH("T_C*bat*s3",[1]OUT_TransportEnergyCons!$A$4:$A$10000))*1,[1]OUT_TransportEnergyCons!G$4:G$10000)</f>
        <v>0.19520925028693001</v>
      </c>
      <c r="J2113" s="1" cm="1">
        <f t="array" ref="J2113">SUMPRODUCT(("var_ncap"=[1]OUT_TransportEnergyCons!$B$4:$B$10000)*1,("-"=[1]OUT_TransportEnergyCons!$C$4:$C$10000)*1,ISNUMBER(SEARCH("T_C*bat*s3",[1]OUT_TransportEnergyCons!$A$4:$A$10000))*1,[1]OUT_TransportEnergyCons!H$4:H$10000)</f>
        <v>0.110639553785661</v>
      </c>
      <c r="K2113" s="1" cm="1">
        <f t="array" ref="K2113">SUMPRODUCT(("var_ncap"=[1]OUT_TransportEnergyCons!$B$4:$B$10000)*1,("-"=[1]OUT_TransportEnergyCons!$C$4:$C$10000)*1,ISNUMBER(SEARCH("T_C*bat*s3",[1]OUT_TransportEnergyCons!$A$4:$A$10000))*1,[1]OUT_TransportEnergyCons!I$4:I$10000)</f>
        <v>0.27134419584519198</v>
      </c>
    </row>
    <row r="2114" spans="2:11" x14ac:dyDescent="0.35">
      <c r="B2114" s="5" t="str">
        <f t="shared" si="1308"/>
        <v>SPS4</v>
      </c>
      <c r="C2114" s="5" t="str">
        <f t="shared" si="1303"/>
        <v>CH</v>
      </c>
      <c r="D2114" t="s">
        <v>2265</v>
      </c>
      <c r="E2114" t="str">
        <f t="shared" si="1309"/>
        <v>Million</v>
      </c>
      <c r="F2114" s="1" cm="1">
        <f t="array" ref="F2114">SUMPRODUCT(("var_ncap"=[1]OUT_TransportEnergyCons!$B$4:$B$10000)*1,("-"=[1]OUT_TransportEnergyCons!$C$4:$C$10000)*1,ISNUMBER(SEARCH("T_C*bat*s4",[1]OUT_TransportEnergyCons!$A$4:$A$10000))*1,[1]OUT_TransportEnergyCons!D$4:D$10000)</f>
        <v>1.4654483673344999E-4</v>
      </c>
      <c r="G2114" s="1" cm="1">
        <f t="array" ref="G2114">SUMPRODUCT(("var_ncap"=[1]OUT_TransportEnergyCons!$B$4:$B$10000)*1,("-"=[1]OUT_TransportEnergyCons!$C$4:$C$10000)*1,ISNUMBER(SEARCH("T_C*bat*s4",[1]OUT_TransportEnergyCons!$A$4:$A$10000))*1,[1]OUT_TransportEnergyCons!E$4:E$10000)</f>
        <v>8.04522108135797E-2</v>
      </c>
      <c r="H2114" s="1" cm="1">
        <f t="array" ref="H2114">SUMPRODUCT(("var_ncap"=[1]OUT_TransportEnergyCons!$B$4:$B$10000)*1,("-"=[1]OUT_TransportEnergyCons!$C$4:$C$10000)*1,ISNUMBER(SEARCH("T_C*bat*s4",[1]OUT_TransportEnergyCons!$A$4:$A$10000))*1,[1]OUT_TransportEnergyCons!F$4:F$10000)</f>
        <v>0.16337763971371899</v>
      </c>
      <c r="I2114" s="1" cm="1">
        <f t="array" ref="I2114">SUMPRODUCT(("var_ncap"=[1]OUT_TransportEnergyCons!$B$4:$B$10000)*1,("-"=[1]OUT_TransportEnergyCons!$C$4:$C$10000)*1,ISNUMBER(SEARCH("T_C*bat*s4",[1]OUT_TransportEnergyCons!$A$4:$A$10000))*1,[1]OUT_TransportEnergyCons!G$4:G$10000)</f>
        <v>0.14600647960017599</v>
      </c>
      <c r="J2114" s="1" cm="1">
        <f t="array" ref="J2114">SUMPRODUCT(("var_ncap"=[1]OUT_TransportEnergyCons!$B$4:$B$10000)*1,("-"=[1]OUT_TransportEnergyCons!$C$4:$C$10000)*1,ISNUMBER(SEARCH("T_C*bat*s4",[1]OUT_TransportEnergyCons!$A$4:$A$10000))*1,[1]OUT_TransportEnergyCons!H$4:H$10000)</f>
        <v>9.6378933247974294E-2</v>
      </c>
      <c r="K2114" s="1" cm="1">
        <f t="array" ref="K2114">SUMPRODUCT(("var_ncap"=[1]OUT_TransportEnergyCons!$B$4:$B$10000)*1,("-"=[1]OUT_TransportEnergyCons!$C$4:$C$10000)*1,ISNUMBER(SEARCH("T_C*bat*s4",[1]OUT_TransportEnergyCons!$A$4:$A$10000))*1,[1]OUT_TransportEnergyCons!I$4:I$10000)</f>
        <v>0.77010329974346803</v>
      </c>
    </row>
    <row r="2115" spans="2:11" x14ac:dyDescent="0.35">
      <c r="B2115" s="5" t="str">
        <f t="shared" si="1308"/>
        <v>SPS4</v>
      </c>
      <c r="C2115" s="5" t="str">
        <f t="shared" si="1303"/>
        <v>CH</v>
      </c>
      <c r="D2115" t="s">
        <v>2266</v>
      </c>
      <c r="E2115" t="str">
        <f t="shared" si="1309"/>
        <v>Million</v>
      </c>
      <c r="F2115" s="1" cm="1">
        <f t="array" ref="F2115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SUMPRODUCT(("var_ncap"=[1]OUT_TransportEnergyCons!$B$4:$B$10000)*1,("-"=[1]OUT_TransportEnergyCons!$C$4:$C$10000)*1,ISNUMBER(SEARCH("T_C*pev*GSL*s1",[1]OUT_TransportEnergyCons!$A$4:$A$10000))*1,[1]OUT_TransportEnergyCons!E$4:E$10000)</f>
        <v>5.2388138701971302E-5</v>
      </c>
      <c r="H2115" s="1" cm="1">
        <f t="array" ref="H2115">SUMPRODUCT(("var_ncap"=[1]OUT_TransportEnergyCons!$B$4:$B$10000)*1,("-"=[1]OUT_TransportEnergyCons!$C$4:$C$10000)*1,ISNUMBER(SEARCH("T_C*pev*GSL*s1",[1]OUT_TransportEnergyCons!$A$4:$A$10000))*1,[1]OUT_TransportEnergyCons!F$4:F$10000)</f>
        <v>5.6103153473504197E-5</v>
      </c>
      <c r="I2115" s="1" cm="1">
        <f t="array" ref="I2115">SUMPRODUCT(("var_ncap"=[1]OUT_TransportEnergyCons!$B$4:$B$10000)*1,("-"=[1]OUT_TransportEnergyCons!$C$4:$C$10000)*1,ISNUMBER(SEARCH("T_C*pev*GSL*s1",[1]OUT_TransportEnergyCons!$A$4:$A$10000))*1,[1]OUT_TransportEnergyCons!G$4:G$10000)</f>
        <v>3.3118758872437299E-5</v>
      </c>
      <c r="J2115" s="1" cm="1">
        <f t="array" ref="J2115">SUMPRODUCT(("var_ncap"=[1]OUT_TransportEnergyCons!$B$4:$B$10000)*1,("-"=[1]OUT_TransportEnergyCons!$C$4:$C$10000)*1,ISNUMBER(SEARCH("T_C*pev*GSL*s1",[1]OUT_TransportEnergyCons!$A$4:$A$10000))*1,[1]OUT_TransportEnergyCons!H$4:H$10000)</f>
        <v>5.9873728074014402E-5</v>
      </c>
      <c r="K2115" s="1" cm="1">
        <f t="array" ref="K2115">SUMPRODUCT(("var_ncap"=[1]OUT_TransportEnergyCons!$B$4:$B$10000)*1,("-"=[1]OUT_TransportEnergyCons!$C$4:$C$10000)*1,ISNUMBER(SEARCH("T_C*pev*GSL*s1",[1]OUT_TransportEnergyCons!$A$4:$A$10000))*1,[1]OUT_TransportEnergyCons!I$4:I$10000)</f>
        <v>4.78040287999286E-5</v>
      </c>
    </row>
    <row r="2116" spans="2:11" x14ac:dyDescent="0.35">
      <c r="B2116" s="5" t="str">
        <f t="shared" si="1308"/>
        <v>SPS4</v>
      </c>
      <c r="C2116" s="5" t="str">
        <f t="shared" si="1303"/>
        <v>CH</v>
      </c>
      <c r="D2116" t="s">
        <v>2267</v>
      </c>
      <c r="E2116" t="str">
        <f t="shared" si="1309"/>
        <v>Million</v>
      </c>
      <c r="F2116" s="1" cm="1">
        <f t="array" ref="F2116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16" s="1" cm="1">
        <f t="array" ref="G2116">SUMPRODUCT(("var_ncap"=[1]OUT_TransportEnergyCons!$B$4:$B$10000)*1,("-"=[1]OUT_TransportEnergyCons!$C$4:$C$10000)*1,ISNUMBER(SEARCH("T_C*pev*GSL*s2",[1]OUT_TransportEnergyCons!$A$4:$A$10000))*1,[1]OUT_TransportEnergyCons!E$4:E$10000)</f>
        <v>2.6890782980452601E-5</v>
      </c>
      <c r="H2116" s="1" cm="1">
        <f t="array" ref="H2116">SUMPRODUCT(("var_ncap"=[1]OUT_TransportEnergyCons!$B$4:$B$10000)*1,("-"=[1]OUT_TransportEnergyCons!$C$4:$C$10000)*1,ISNUMBER(SEARCH("T_C*pev*GSL*s2",[1]OUT_TransportEnergyCons!$A$4:$A$10000))*1,[1]OUT_TransportEnergyCons!F$4:F$10000)</f>
        <v>9.2291345233410003E-5</v>
      </c>
      <c r="I2116" s="1" cm="1">
        <f t="array" ref="I2116">SUMPRODUCT(("var_ncap"=[1]OUT_TransportEnergyCons!$B$4:$B$10000)*1,("-"=[1]OUT_TransportEnergyCons!$C$4:$C$10000)*1,ISNUMBER(SEARCH("T_C*pev*GSL*s2",[1]OUT_TransportEnergyCons!$A$4:$A$10000))*1,[1]OUT_TransportEnergyCons!G$4:G$10000)</f>
        <v>7.5571472166971305E-5</v>
      </c>
      <c r="J2116" s="1" cm="1">
        <f t="array" ref="J2116">SUMPRODUCT(("var_ncap"=[1]OUT_TransportEnergyCons!$B$4:$B$10000)*1,("-"=[1]OUT_TransportEnergyCons!$C$4:$C$10000)*1,ISNUMBER(SEARCH("T_C*pev*GSL*s2",[1]OUT_TransportEnergyCons!$A$4:$A$10000))*1,[1]OUT_TransportEnergyCons!H$4:H$10000)</f>
        <v>1.2136184220387099E-4</v>
      </c>
      <c r="K2116" s="1" cm="1">
        <f t="array" ref="K2116">SUMPRODUCT(("var_ncap"=[1]OUT_TransportEnergyCons!$B$4:$B$10000)*1,("-"=[1]OUT_TransportEnergyCons!$C$4:$C$10000)*1,ISNUMBER(SEARCH("T_C*pev*GSL*s2",[1]OUT_TransportEnergyCons!$A$4:$A$10000))*1,[1]OUT_TransportEnergyCons!I$4:I$10000)</f>
        <v>8.8503233616488706E-5</v>
      </c>
    </row>
    <row r="2117" spans="2:11" x14ac:dyDescent="0.35">
      <c r="B2117" s="5" t="str">
        <f t="shared" si="1308"/>
        <v>SPS4</v>
      </c>
      <c r="C2117" s="5" t="str">
        <f t="shared" si="1303"/>
        <v>CH</v>
      </c>
      <c r="D2117" t="s">
        <v>2268</v>
      </c>
      <c r="E2117" t="str">
        <f t="shared" si="1309"/>
        <v>Million</v>
      </c>
      <c r="F2117" s="1" cm="1">
        <f t="array" ref="F2117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17" s="1" cm="1">
        <f t="array" ref="G2117">SUMPRODUCT(("var_ncap"=[1]OUT_TransportEnergyCons!$B$4:$B$10000)*1,("-"=[1]OUT_TransportEnergyCons!$C$4:$C$10000)*1,ISNUMBER(SEARCH("T_C*pev*GSL*s3",[1]OUT_TransportEnergyCons!$A$4:$A$10000))*1,[1]OUT_TransportEnergyCons!E$4:E$10000)</f>
        <v>3.5826539103702898E-2</v>
      </c>
      <c r="H2117" s="1" cm="1">
        <f t="array" ref="H2117">SUMPRODUCT(("var_ncap"=[1]OUT_TransportEnergyCons!$B$4:$B$10000)*1,("-"=[1]OUT_TransportEnergyCons!$C$4:$C$10000)*1,ISNUMBER(SEARCH("T_C*pev*GSL*s3",[1]OUT_TransportEnergyCons!$A$4:$A$10000))*1,[1]OUT_TransportEnergyCons!F$4:F$10000)</f>
        <v>3.9108042991050397E-2</v>
      </c>
      <c r="I2117" s="1" cm="1">
        <f t="array" ref="I2117">SUMPRODUCT(("var_ncap"=[1]OUT_TransportEnergyCons!$B$4:$B$10000)*1,("-"=[1]OUT_TransportEnergyCons!$C$4:$C$10000)*1,ISNUMBER(SEARCH("T_C*pev*GSL*s3",[1]OUT_TransportEnergyCons!$A$4:$A$10000))*1,[1]OUT_TransportEnergyCons!G$4:G$10000)</f>
        <v>2.2148517849951501E-2</v>
      </c>
      <c r="J2117" s="1" cm="1">
        <f t="array" ref="J2117">SUMPRODUCT(("var_ncap"=[1]OUT_TransportEnergyCons!$B$4:$B$10000)*1,("-"=[1]OUT_TransportEnergyCons!$C$4:$C$10000)*1,ISNUMBER(SEARCH("T_C*pev*GSL*s3",[1]OUT_TransportEnergyCons!$A$4:$A$10000))*1,[1]OUT_TransportEnergyCons!H$4:H$10000)</f>
        <v>1.0775598469224001E-2</v>
      </c>
      <c r="K2117" s="1" cm="1">
        <f t="array" ref="K2117">SUMPRODUCT(("var_ncap"=[1]OUT_TransportEnergyCons!$B$4:$B$10000)*1,("-"=[1]OUT_TransportEnergyCons!$C$4:$C$10000)*1,ISNUMBER(SEARCH("T_C*pev*GSL*s3",[1]OUT_TransportEnergyCons!$A$4:$A$10000))*1,[1]OUT_TransportEnergyCons!I$4:I$10000)</f>
        <v>0.122651133871683</v>
      </c>
    </row>
    <row r="2118" spans="2:11" x14ac:dyDescent="0.35">
      <c r="B2118" s="5" t="str">
        <f t="shared" si="1308"/>
        <v>SPS4</v>
      </c>
      <c r="C2118" s="5" t="str">
        <f t="shared" si="1303"/>
        <v>CH</v>
      </c>
      <c r="D2118" t="s">
        <v>2269</v>
      </c>
      <c r="E2118" t="str">
        <f t="shared" si="1309"/>
        <v>Million</v>
      </c>
      <c r="F2118" s="1" cm="1">
        <f t="array" ref="F2118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18" s="1" cm="1">
        <f t="array" ref="G2118">SUMPRODUCT(("var_ncap"=[1]OUT_TransportEnergyCons!$B$4:$B$10000)*1,("-"=[1]OUT_TransportEnergyCons!$C$4:$C$10000)*1,ISNUMBER(SEARCH("T_C*pev*GSL*s4",[1]OUT_TransportEnergyCons!$A$4:$A$10000))*1,[1]OUT_TransportEnergyCons!E$4:E$10000)</f>
        <v>1.4708421229005201E-4</v>
      </c>
      <c r="H2118" s="1" cm="1">
        <f t="array" ref="H2118">SUMPRODUCT(("var_ncap"=[1]OUT_TransportEnergyCons!$B$4:$B$10000)*1,("-"=[1]OUT_TransportEnergyCons!$C$4:$C$10000)*1,ISNUMBER(SEARCH("T_C*pev*GSL*s4",[1]OUT_TransportEnergyCons!$A$4:$A$10000))*1,[1]OUT_TransportEnergyCons!F$4:F$10000)</f>
        <v>1.4360152232204099E-4</v>
      </c>
      <c r="I2118" s="1" cm="1">
        <f t="array" ref="I2118">SUMPRODUCT(("var_ncap"=[1]OUT_TransportEnergyCons!$B$4:$B$10000)*1,("-"=[1]OUT_TransportEnergyCons!$C$4:$C$10000)*1,ISNUMBER(SEARCH("T_C*pev*GSL*s4",[1]OUT_TransportEnergyCons!$A$4:$A$10000))*1,[1]OUT_TransportEnergyCons!G$4:G$10000)</f>
        <v>1.3352506882598401E-4</v>
      </c>
      <c r="J2118" s="1" cm="1">
        <f t="array" ref="J2118">SUMPRODUCT(("var_ncap"=[1]OUT_TransportEnergyCons!$B$4:$B$10000)*1,("-"=[1]OUT_TransportEnergyCons!$C$4:$C$10000)*1,ISNUMBER(SEARCH("T_C*pev*GSL*s4",[1]OUT_TransportEnergyCons!$A$4:$A$10000))*1,[1]OUT_TransportEnergyCons!H$4:H$10000)</f>
        <v>1.4859433724909399E-4</v>
      </c>
      <c r="K2118" s="1" cm="1">
        <f t="array" ref="K2118">SUMPRODUCT(("var_ncap"=[1]OUT_TransportEnergyCons!$B$4:$B$10000)*1,("-"=[1]OUT_TransportEnergyCons!$C$4:$C$10000)*1,ISNUMBER(SEARCH("T_C*pev*GSL*s4",[1]OUT_TransportEnergyCons!$A$4:$A$10000))*1,[1]OUT_TransportEnergyCons!I$4:I$10000)</f>
        <v>1.2624475321316601E-4</v>
      </c>
    </row>
    <row r="2119" spans="2:11" x14ac:dyDescent="0.35">
      <c r="B2119" s="5" t="str">
        <f t="shared" si="1308"/>
        <v>SPS4</v>
      </c>
      <c r="C2119" s="5" t="str">
        <f t="shared" si="1303"/>
        <v>CH</v>
      </c>
      <c r="D2119" t="s">
        <v>2270</v>
      </c>
      <c r="E2119" t="str">
        <f t="shared" si="1309"/>
        <v>Million</v>
      </c>
      <c r="F2119" s="1" cm="1">
        <f t="array" ref="F2119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19" s="1" cm="1">
        <f t="array" ref="G2119">SUMPRODUCT(("var_ncap"=[1]OUT_TransportEnergyCons!$B$4:$B$10000)*1,("-"=[1]OUT_TransportEnergyCons!$C$4:$C$10000)*1,ISNUMBER(SEARCH("T_C*pev*dsl*s1",[1]OUT_TransportEnergyCons!$A$4:$A$10000))*1,[1]OUT_TransportEnergyCons!E$4:E$10000)</f>
        <v>5.5830414706139098E-5</v>
      </c>
      <c r="H2119" s="1" cm="1">
        <f t="array" ref="H2119">SUMPRODUCT(("var_ncap"=[1]OUT_TransportEnergyCons!$B$4:$B$10000)*1,("-"=[1]OUT_TransportEnergyCons!$C$4:$C$10000)*1,ISNUMBER(SEARCH("T_C*pev*dsl*s1",[1]OUT_TransportEnergyCons!$A$4:$A$10000))*1,[1]OUT_TransportEnergyCons!F$4:F$10000)</f>
        <v>5.8642046769961498E-5</v>
      </c>
      <c r="I2119" s="1" cm="1">
        <f t="array" ref="I2119">SUMPRODUCT(("var_ncap"=[1]OUT_TransportEnergyCons!$B$4:$B$10000)*1,("-"=[1]OUT_TransportEnergyCons!$C$4:$C$10000)*1,ISNUMBER(SEARCH("T_C*pev*dsl*s1",[1]OUT_TransportEnergyCons!$A$4:$A$10000))*1,[1]OUT_TransportEnergyCons!G$4:G$10000)</f>
        <v>3.3718749052669898E-5</v>
      </c>
      <c r="J2119" s="1" cm="1">
        <f t="array" ref="J2119">SUMPRODUCT(("var_ncap"=[1]OUT_TransportEnergyCons!$B$4:$B$10000)*1,("-"=[1]OUT_TransportEnergyCons!$C$4:$C$10000)*1,ISNUMBER(SEARCH("T_C*pev*dsl*s1",[1]OUT_TransportEnergyCons!$A$4:$A$10000))*1,[1]OUT_TransportEnergyCons!H$4:H$10000)</f>
        <v>6.00880216070457E-5</v>
      </c>
      <c r="K2119" s="1" cm="1">
        <f t="array" ref="K2119">SUMPRODUCT(("var_ncap"=[1]OUT_TransportEnergyCons!$B$4:$B$10000)*1,("-"=[1]OUT_TransportEnergyCons!$C$4:$C$10000)*1,ISNUMBER(SEARCH("T_C*pev*dsl*s1",[1]OUT_TransportEnergyCons!$A$4:$A$10000))*1,[1]OUT_TransportEnergyCons!I$4:I$10000)</f>
        <v>4.8635064942746497E-5</v>
      </c>
    </row>
    <row r="2120" spans="2:11" x14ac:dyDescent="0.35">
      <c r="B2120" s="5" t="str">
        <f t="shared" si="1308"/>
        <v>SPS4</v>
      </c>
      <c r="C2120" s="5" t="str">
        <f t="shared" si="1303"/>
        <v>CH</v>
      </c>
      <c r="D2120" t="s">
        <v>2271</v>
      </c>
      <c r="E2120" t="str">
        <f t="shared" si="1309"/>
        <v>Million</v>
      </c>
      <c r="F2120" s="1" cm="1">
        <f t="array" ref="F2120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SUMPRODUCT(("var_ncap"=[1]OUT_TransportEnergyCons!$B$4:$B$10000)*1,("-"=[1]OUT_TransportEnergyCons!$C$4:$C$10000)*1,ISNUMBER(SEARCH("T_C*pev*dsl*s2",[1]OUT_TransportEnergyCons!$A$4:$A$10000))*1,[1]OUT_TransportEnergyCons!E$4:E$10000)</f>
        <v>3.5909940536954503E-5</v>
      </c>
      <c r="H2120" s="1" cm="1">
        <f t="array" ref="H2120">SUMPRODUCT(("var_ncap"=[1]OUT_TransportEnergyCons!$B$4:$B$10000)*1,("-"=[1]OUT_TransportEnergyCons!$C$4:$C$10000)*1,ISNUMBER(SEARCH("T_C*pev*dsl*s2",[1]OUT_TransportEnergyCons!$A$4:$A$10000))*1,[1]OUT_TransportEnergyCons!F$4:F$10000)</f>
        <v>1.20187035792704E-4</v>
      </c>
      <c r="I2120" s="1" cm="1">
        <f t="array" ref="I2120">SUMPRODUCT(("var_ncap"=[1]OUT_TransportEnergyCons!$B$4:$B$10000)*1,("-"=[1]OUT_TransportEnergyCons!$C$4:$C$10000)*1,ISNUMBER(SEARCH("T_C*pev*dsl*s2",[1]OUT_TransportEnergyCons!$A$4:$A$10000))*1,[1]OUT_TransportEnergyCons!G$4:G$10000)</f>
        <v>8.9708788039349096E-5</v>
      </c>
      <c r="J2120" s="1" cm="1">
        <f t="array" ref="J2120">SUMPRODUCT(("var_ncap"=[1]OUT_TransportEnergyCons!$B$4:$B$10000)*1,("-"=[1]OUT_TransportEnergyCons!$C$4:$C$10000)*1,ISNUMBER(SEARCH("T_C*pev*dsl*s2",[1]OUT_TransportEnergyCons!$A$4:$A$10000))*1,[1]OUT_TransportEnergyCons!H$4:H$10000)</f>
        <v>1.2349394723712101E-4</v>
      </c>
      <c r="K2120" s="1" cm="1">
        <f t="array" ref="K2120">SUMPRODUCT(("var_ncap"=[1]OUT_TransportEnergyCons!$B$4:$B$10000)*1,("-"=[1]OUT_TransportEnergyCons!$C$4:$C$10000)*1,ISNUMBER(SEARCH("T_C*pev*dsl*s2",[1]OUT_TransportEnergyCons!$A$4:$A$10000))*1,[1]OUT_TransportEnergyCons!I$4:I$10000)</f>
        <v>9.2076686012818103E-5</v>
      </c>
    </row>
    <row r="2121" spans="2:11" x14ac:dyDescent="0.35">
      <c r="B2121" s="5" t="str">
        <f t="shared" si="1308"/>
        <v>SPS4</v>
      </c>
      <c r="C2121" s="5" t="str">
        <f t="shared" si="1303"/>
        <v>CH</v>
      </c>
      <c r="D2121" t="s">
        <v>2272</v>
      </c>
      <c r="E2121" t="str">
        <f t="shared" si="1309"/>
        <v>Million</v>
      </c>
      <c r="F2121" s="1" cm="1">
        <f t="array" ref="F2121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SUMPRODUCT(("var_ncap"=[1]OUT_TransportEnergyCons!$B$4:$B$10000)*1,("-"=[1]OUT_TransportEnergyCons!$C$4:$C$10000)*1,ISNUMBER(SEARCH("T_C*pev*dsl*s3",[1]OUT_TransportEnergyCons!$A$4:$A$10000))*1,[1]OUT_TransportEnergyCons!E$4:E$10000)</f>
        <v>6.1549871520084703E-4</v>
      </c>
      <c r="H2121" s="1" cm="1">
        <f t="array" ref="H2121">SUMPRODUCT(("var_ncap"=[1]OUT_TransportEnergyCons!$B$4:$B$10000)*1,("-"=[1]OUT_TransportEnergyCons!$C$4:$C$10000)*1,ISNUMBER(SEARCH("T_C*pev*dsl*s3",[1]OUT_TransportEnergyCons!$A$4:$A$10000))*1,[1]OUT_TransportEnergyCons!F$4:F$10000)</f>
        <v>6.8550022501761607E-2</v>
      </c>
      <c r="I2121" s="1" cm="1">
        <f t="array" ref="I2121">SUMPRODUCT(("var_ncap"=[1]OUT_TransportEnergyCons!$B$4:$B$10000)*1,("-"=[1]OUT_TransportEnergyCons!$C$4:$C$10000)*1,ISNUMBER(SEARCH("T_C*pev*dsl*s3",[1]OUT_TransportEnergyCons!$A$4:$A$10000))*1,[1]OUT_TransportEnergyCons!G$4:G$10000)</f>
        <v>0.295855845183016</v>
      </c>
      <c r="J2121" s="1" cm="1">
        <f t="array" ref="J2121">SUMPRODUCT(("var_ncap"=[1]OUT_TransportEnergyCons!$B$4:$B$10000)*1,("-"=[1]OUT_TransportEnergyCons!$C$4:$C$10000)*1,ISNUMBER(SEARCH("T_C*pev*dsl*s3",[1]OUT_TransportEnergyCons!$A$4:$A$10000))*1,[1]OUT_TransportEnergyCons!H$4:H$10000)</f>
        <v>0.262779172627292</v>
      </c>
      <c r="K2121" s="1" cm="1">
        <f t="array" ref="K2121">SUMPRODUCT(("var_ncap"=[1]OUT_TransportEnergyCons!$B$4:$B$10000)*1,("-"=[1]OUT_TransportEnergyCons!$C$4:$C$10000)*1,ISNUMBER(SEARCH("T_C*pev*dsl*s3",[1]OUT_TransportEnergyCons!$A$4:$A$10000))*1,[1]OUT_TransportEnergyCons!I$4:I$10000)</f>
        <v>0.425269786474956</v>
      </c>
    </row>
    <row r="2122" spans="2:11" x14ac:dyDescent="0.35">
      <c r="B2122" s="5" t="str">
        <f t="shared" si="1308"/>
        <v>SPS4</v>
      </c>
      <c r="C2122" s="5" t="str">
        <f t="shared" si="1303"/>
        <v>CH</v>
      </c>
      <c r="D2122" t="s">
        <v>2273</v>
      </c>
      <c r="E2122" t="str">
        <f t="shared" si="1309"/>
        <v>Million</v>
      </c>
      <c r="F2122" s="1" cm="1">
        <f t="array" ref="F2122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SUMPRODUCT(("var_ncap"=[1]OUT_TransportEnergyCons!$B$4:$B$10000)*1,("-"=[1]OUT_TransportEnergyCons!$C$4:$C$10000)*1,ISNUMBER(SEARCH("T_C*pev*dsl*s4",[1]OUT_TransportEnergyCons!$A$4:$A$10000))*1,[1]OUT_TransportEnergyCons!E$4:E$10000)</f>
        <v>1.38473019736326E-4</v>
      </c>
      <c r="H2122" s="1" cm="1">
        <f t="array" ref="H2122">SUMPRODUCT(("var_ncap"=[1]OUT_TransportEnergyCons!$B$4:$B$10000)*1,("-"=[1]OUT_TransportEnergyCons!$C$4:$C$10000)*1,ISNUMBER(SEARCH("T_C*pev*dsl*s4",[1]OUT_TransportEnergyCons!$A$4:$A$10000))*1,[1]OUT_TransportEnergyCons!F$4:F$10000)</f>
        <v>1.63602103514369E-4</v>
      </c>
      <c r="I2122" s="1" cm="1">
        <f t="array" ref="I2122">SUMPRODUCT(("var_ncap"=[1]OUT_TransportEnergyCons!$B$4:$B$10000)*1,("-"=[1]OUT_TransportEnergyCons!$C$4:$C$10000)*1,ISNUMBER(SEARCH("T_C*pev*dsl*s4",[1]OUT_TransportEnergyCons!$A$4:$A$10000))*1,[1]OUT_TransportEnergyCons!G$4:G$10000)</f>
        <v>1.5273386807725001E-4</v>
      </c>
      <c r="J2122" s="1" cm="1">
        <f t="array" ref="J2122">SUMPRODUCT(("var_ncap"=[1]OUT_TransportEnergyCons!$B$4:$B$10000)*1,("-"=[1]OUT_TransportEnergyCons!$C$4:$C$10000)*1,ISNUMBER(SEARCH("T_C*pev*dsl*s4",[1]OUT_TransportEnergyCons!$A$4:$A$10000))*1,[1]OUT_TransportEnergyCons!H$4:H$10000)</f>
        <v>1.5446569896151999E-4</v>
      </c>
      <c r="K2122" s="1" cm="1">
        <f t="array" ref="K2122">SUMPRODUCT(("var_ncap"=[1]OUT_TransportEnergyCons!$B$4:$B$10000)*1,("-"=[1]OUT_TransportEnergyCons!$C$4:$C$10000)*1,ISNUMBER(SEARCH("T_C*pev*dsl*s4",[1]OUT_TransportEnergyCons!$A$4:$A$10000))*1,[1]OUT_TransportEnergyCons!I$4:I$10000)</f>
        <v>1.2986307215077101E-4</v>
      </c>
    </row>
    <row r="2123" spans="2:11" x14ac:dyDescent="0.35">
      <c r="B2123" s="5" t="str">
        <f t="shared" si="1308"/>
        <v>SPS4</v>
      </c>
      <c r="C2123" s="5" t="str">
        <f t="shared" si="1303"/>
        <v>CH</v>
      </c>
      <c r="D2123" t="s">
        <v>2274</v>
      </c>
      <c r="E2123" t="str">
        <f t="shared" si="1309"/>
        <v>Million</v>
      </c>
      <c r="F2123" s="1" cm="1">
        <f t="array" ref="F2123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SUMPRODUCT(("var_ncap"=[1]OUT_TransportEnergyCons!$B$4:$B$10000)*1,("-"=[1]OUT_TransportEnergyCons!$C$4:$C$10000)*1,ISNUMBER(SEARCH("T_C*h2o*s1",[1]OUT_TransportEnergyCons!$A$4:$A$10000))*1,[1]OUT_TransportEnergyCons!E$4:E$10000)</f>
        <v>2.1259015800905398E-6</v>
      </c>
      <c r="H2123" s="1" cm="1">
        <f t="array" ref="H2123">SUMPRODUCT(("var_ncap"=[1]OUT_TransportEnergyCons!$B$4:$B$10000)*1,("-"=[1]OUT_TransportEnergyCons!$C$4:$C$10000)*1,ISNUMBER(SEARCH("T_C*h2o*s1",[1]OUT_TransportEnergyCons!$A$4:$A$10000))*1,[1]OUT_TransportEnergyCons!F$4:F$10000)</f>
        <v>1.7189438601037601E-6</v>
      </c>
      <c r="I2123" s="1" cm="1">
        <f t="array" ref="I2123">SUMPRODUCT(("var_ncap"=[1]OUT_TransportEnergyCons!$B$4:$B$10000)*1,("-"=[1]OUT_TransportEnergyCons!$C$4:$C$10000)*1,ISNUMBER(SEARCH("T_C*h2o*s1",[1]OUT_TransportEnergyCons!$A$4:$A$10000))*1,[1]OUT_TransportEnergyCons!G$4:G$10000)</f>
        <v>8.0857295028319996E-7</v>
      </c>
      <c r="J2123" s="1" cm="1">
        <f t="array" ref="J2123">SUMPRODUCT(("var_ncap"=[1]OUT_TransportEnergyCons!$B$4:$B$10000)*1,("-"=[1]OUT_TransportEnergyCons!$C$4:$C$10000)*1,ISNUMBER(SEARCH("T_C*h2o*s1",[1]OUT_TransportEnergyCons!$A$4:$A$10000))*1,[1]OUT_TransportEnergyCons!H$4:H$10000)</f>
        <v>1.9182336392259802E-6</v>
      </c>
      <c r="K2123" s="1" cm="1">
        <f t="array" ref="K2123">SUMPRODUCT(("var_ncap"=[1]OUT_TransportEnergyCons!$B$4:$B$10000)*1,("-"=[1]OUT_TransportEnergyCons!$C$4:$C$10000)*1,ISNUMBER(SEARCH("T_C*h2o*s1",[1]OUT_TransportEnergyCons!$A$4:$A$10000))*1,[1]OUT_TransportEnergyCons!I$4:I$10000)</f>
        <v>2.0442288671990799E-6</v>
      </c>
    </row>
    <row r="2124" spans="2:11" x14ac:dyDescent="0.35">
      <c r="B2124" s="5" t="str">
        <f t="shared" si="1308"/>
        <v>SPS4</v>
      </c>
      <c r="C2124" s="5" t="str">
        <f t="shared" si="1303"/>
        <v>CH</v>
      </c>
      <c r="D2124" t="s">
        <v>2275</v>
      </c>
      <c r="E2124" t="str">
        <f t="shared" si="1309"/>
        <v>Million</v>
      </c>
      <c r="F2124" s="1" cm="1">
        <f t="array" ref="F2124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SUMPRODUCT(("var_ncap"=[1]OUT_TransportEnergyCons!$B$4:$B$10000)*1,("-"=[1]OUT_TransportEnergyCons!$C$4:$C$10000)*1,ISNUMBER(SEARCH("T_C*h2o*s2",[1]OUT_TransportEnergyCons!$A$4:$A$10000))*1,[1]OUT_TransportEnergyCons!E$4:E$10000)</f>
        <v>1.2484441071343199E-6</v>
      </c>
      <c r="H2124" s="1" cm="1">
        <f t="array" ref="H2124">SUMPRODUCT(("var_ncap"=[1]OUT_TransportEnergyCons!$B$4:$B$10000)*1,("-"=[1]OUT_TransportEnergyCons!$C$4:$C$10000)*1,ISNUMBER(SEARCH("T_C*h2o*s2",[1]OUT_TransportEnergyCons!$A$4:$A$10000))*1,[1]OUT_TransportEnergyCons!F$4:F$10000)</f>
        <v>1.13638509793413E-6</v>
      </c>
      <c r="I2124" s="1" cm="1">
        <f t="array" ref="I2124">SUMPRODUCT(("var_ncap"=[1]OUT_TransportEnergyCons!$B$4:$B$10000)*1,("-"=[1]OUT_TransportEnergyCons!$C$4:$C$10000)*1,ISNUMBER(SEARCH("T_C*h2o*s2",[1]OUT_TransportEnergyCons!$A$4:$A$10000))*1,[1]OUT_TransportEnergyCons!G$4:G$10000)</f>
        <v>7.2472967748971803E-7</v>
      </c>
      <c r="J2124" s="1" cm="1">
        <f t="array" ref="J2124">SUMPRODUCT(("var_ncap"=[1]OUT_TransportEnergyCons!$B$4:$B$10000)*1,("-"=[1]OUT_TransportEnergyCons!$C$4:$C$10000)*1,ISNUMBER(SEARCH("T_C*h2o*s2",[1]OUT_TransportEnergyCons!$A$4:$A$10000))*1,[1]OUT_TransportEnergyCons!H$4:H$10000)</f>
        <v>1.6674299195727299E-6</v>
      </c>
      <c r="K2124" s="1" cm="1">
        <f t="array" ref="K2124">SUMPRODUCT(("var_ncap"=[1]OUT_TransportEnergyCons!$B$4:$B$10000)*1,("-"=[1]OUT_TransportEnergyCons!$C$4:$C$10000)*1,ISNUMBER(SEARCH("T_C*h2o*s2",[1]OUT_TransportEnergyCons!$A$4:$A$10000))*1,[1]OUT_TransportEnergyCons!I$4:I$10000)</f>
        <v>2.1313619686016201E-6</v>
      </c>
    </row>
    <row r="2125" spans="2:11" x14ac:dyDescent="0.35">
      <c r="B2125" s="5" t="str">
        <f t="shared" si="1308"/>
        <v>SPS4</v>
      </c>
      <c r="C2125" s="5" t="str">
        <f t="shared" si="1303"/>
        <v>CH</v>
      </c>
      <c r="D2125" t="s">
        <v>2276</v>
      </c>
      <c r="E2125" t="str">
        <f t="shared" si="1309"/>
        <v>Million</v>
      </c>
      <c r="F2125" s="1" cm="1">
        <f t="array" ref="F2125">SUMPRODUCT(("var_ncap"=[1]OUT_TransportEnergyCons!$B$4:$B$10000)*1,("-"=[1]OUT_TransportEnergyCons!$C$4:$C$10000)*1,ISNUMBER(SEARCH("T_C*h2o*s3",[1]OUT_TransportEnergyCons!$A$4:$A$10000))*1,[1]OUT_TransportEnergyCons!D$4:D$10000)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SUMPRODUCT(("var_ncap"=[1]OUT_TransportEnergyCons!$B$4:$B$10000)*1,("-"=[1]OUT_TransportEnergyCons!$C$4:$C$10000)*1,ISNUMBER(SEARCH("T_C*h2o*s3",[1]OUT_TransportEnergyCons!$A$4:$A$10000))*1,[1]OUT_TransportEnergyCons!E$4:E$10000)</f>
        <v>1.0262899382796801E-6</v>
      </c>
      <c r="H2125" s="1" cm="1">
        <f t="array" ref="H2125">SUMPRODUCT(("var_ncap"=[1]OUT_TransportEnergyCons!$B$4:$B$10000)*1,("-"=[1]OUT_TransportEnergyCons!$C$4:$C$10000)*1,ISNUMBER(SEARCH("T_C*h2o*s3",[1]OUT_TransportEnergyCons!$A$4:$A$10000))*1,[1]OUT_TransportEnergyCons!F$4:F$10000)</f>
        <v>8.0029513680518298E-7</v>
      </c>
      <c r="I2125" s="1" cm="1">
        <f t="array" ref="I2125">SUMPRODUCT(("var_ncap"=[1]OUT_TransportEnergyCons!$B$4:$B$10000)*1,("-"=[1]OUT_TransportEnergyCons!$C$4:$C$10000)*1,ISNUMBER(SEARCH("T_C*h2o*s3",[1]OUT_TransportEnergyCons!$A$4:$A$10000))*1,[1]OUT_TransportEnergyCons!G$4:G$10000)</f>
        <v>5.8887019916348296E-7</v>
      </c>
      <c r="J2125" s="1" cm="1">
        <f t="array" ref="J2125">SUMPRODUCT(("var_ncap"=[1]OUT_TransportEnergyCons!$B$4:$B$10000)*1,("-"=[1]OUT_TransportEnergyCons!$C$4:$C$10000)*1,ISNUMBER(SEARCH("T_C*h2o*s3",[1]OUT_TransportEnergyCons!$A$4:$A$10000))*1,[1]OUT_TransportEnergyCons!H$4:H$10000)</f>
        <v>1.3901773565810399E-6</v>
      </c>
      <c r="K2125" s="1" cm="1">
        <f t="array" ref="K2125">SUMPRODUCT(("var_ncap"=[1]OUT_TransportEnergyCons!$B$4:$B$10000)*1,("-"=[1]OUT_TransportEnergyCons!$C$4:$C$10000)*1,ISNUMBER(SEARCH("T_C*h2o*s3",[1]OUT_TransportEnergyCons!$A$4:$A$10000))*1,[1]OUT_TransportEnergyCons!I$4:I$10000)</f>
        <v>2.1620284010250398E-6</v>
      </c>
    </row>
    <row r="2126" spans="2:11" x14ac:dyDescent="0.35">
      <c r="B2126" s="5" t="str">
        <f t="shared" si="1308"/>
        <v>SPS4</v>
      </c>
      <c r="C2126" s="5" t="str">
        <f t="shared" si="1303"/>
        <v>CH</v>
      </c>
      <c r="D2126" t="s">
        <v>2277</v>
      </c>
      <c r="E2126" t="str">
        <f t="shared" si="1309"/>
        <v>Million</v>
      </c>
      <c r="F2126" s="1" cm="1">
        <f t="array" ref="F2126">SUMPRODUCT(("var_ncap"=[1]OUT_TransportEnergyCons!$B$4:$B$10000)*1,("-"=[1]OUT_TransportEnergyCons!$C$4:$C$10000)*1,ISNUMBER(SEARCH("T_C*h2o*s4",[1]OUT_TransportEnergyCons!$A$4:$A$10000))*1,[1]OUT_TransportEnergyCons!D$4:D$10000)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SUMPRODUCT(("var_ncap"=[1]OUT_TransportEnergyCons!$B$4:$B$10000)*1,("-"=[1]OUT_TransportEnergyCons!$C$4:$C$10000)*1,ISNUMBER(SEARCH("T_C*h2o*s4",[1]OUT_TransportEnergyCons!$A$4:$A$10000))*1,[1]OUT_TransportEnergyCons!E$4:E$10000)</f>
        <v>1.3817349204730701E-6</v>
      </c>
      <c r="H2126" s="1" cm="1">
        <f t="array" ref="H2126">SUMPRODUCT(("var_ncap"=[1]OUT_TransportEnergyCons!$B$4:$B$10000)*1,("-"=[1]OUT_TransportEnergyCons!$C$4:$C$10000)*1,ISNUMBER(SEARCH("T_C*h2o*s4",[1]OUT_TransportEnergyCons!$A$4:$A$10000))*1,[1]OUT_TransportEnergyCons!F$4:F$10000)</f>
        <v>1.0493810129219401E-6</v>
      </c>
      <c r="I2126" s="1" cm="1">
        <f t="array" ref="I2126">SUMPRODUCT(("var_ncap"=[1]OUT_TransportEnergyCons!$B$4:$B$10000)*1,("-"=[1]OUT_TransportEnergyCons!$C$4:$C$10000)*1,ISNUMBER(SEARCH("T_C*h2o*s4",[1]OUT_TransportEnergyCons!$A$4:$A$10000))*1,[1]OUT_TransportEnergyCons!G$4:G$10000)</f>
        <v>7.0086539148377298E-7</v>
      </c>
      <c r="J2126" s="1" cm="1">
        <f t="array" ref="J2126">SUMPRODUCT(("var_ncap"=[1]OUT_TransportEnergyCons!$B$4:$B$10000)*1,("-"=[1]OUT_TransportEnergyCons!$C$4:$C$10000)*1,ISNUMBER(SEARCH("T_C*h2o*s4",[1]OUT_TransportEnergyCons!$A$4:$A$10000))*1,[1]OUT_TransportEnergyCons!H$4:H$10000)</f>
        <v>1.8095402874807801E-6</v>
      </c>
      <c r="K2126" s="1" cm="1">
        <f t="array" ref="K2126">SUMPRODUCT(("var_ncap"=[1]OUT_TransportEnergyCons!$B$4:$B$10000)*1,("-"=[1]OUT_TransportEnergyCons!$C$4:$C$10000)*1,ISNUMBER(SEARCH("T_C*h2o*s4",[1]OUT_TransportEnergyCons!$A$4:$A$10000))*1,[1]OUT_TransportEnergyCons!I$4:I$10000)</f>
        <v>3.07408763693424E-6</v>
      </c>
    </row>
    <row r="2127" spans="2:11" x14ac:dyDescent="0.35">
      <c r="B2127" s="5" t="str">
        <f t="shared" si="1308"/>
        <v>SPS4</v>
      </c>
      <c r="C2127" s="5" t="str">
        <f t="shared" si="1303"/>
        <v>CH</v>
      </c>
      <c r="D2127" t="s">
        <v>2278</v>
      </c>
      <c r="E2127" t="str">
        <f t="shared" si="1309"/>
        <v>Million</v>
      </c>
      <c r="F2127" s="1" cm="1">
        <f t="array" ref="F2127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27" s="1" cm="1">
        <f t="array" ref="H2127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27" s="1" cm="1">
        <f t="array" ref="I2127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27" s="1" cm="1">
        <f t="array" ref="J2127">SUMPRODUCT(("var_ncap"=[1]OUT_TransportEnergyCons!$B$4:$B$10000)*1,("-"=[1]OUT_TransportEnergyCons!$C$4:$C$10000)*1,ISNUMBER(SEARCH("T_C*hy*GSL*ext",[1]OUT_TransportEnergyCons!$A$4:$A$10000))*1,[1]OUT_TransportEnergyCons!H$4:H$10000)</f>
        <v>0</v>
      </c>
      <c r="K2127" s="1" cm="1">
        <f t="array" ref="K2127">SUMPRODUCT(("var_ncap"=[1]OUT_TransportEnergyCons!$B$4:$B$10000)*1,("-"=[1]OUT_TransportEnergyCons!$C$4:$C$10000)*1,ISNUMBER(SEARCH("T_C*hy*GSL*ext",[1]OUT_TransportEnergyCons!$A$4:$A$10000))*1,[1]OUT_TransportEnergyCons!I$4:I$10000)</f>
        <v>0</v>
      </c>
    </row>
    <row r="2128" spans="2:11" x14ac:dyDescent="0.35">
      <c r="B2128" s="5" t="str">
        <f t="shared" si="1308"/>
        <v>SPS4</v>
      </c>
      <c r="C2128" s="5" t="str">
        <f t="shared" si="1303"/>
        <v>CH</v>
      </c>
      <c r="D2128" t="s">
        <v>2279</v>
      </c>
      <c r="E2128" t="str">
        <f t="shared" si="1309"/>
        <v>Million</v>
      </c>
      <c r="F2128" s="1" cm="1">
        <f t="array" ref="F2128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SUMPRODUCT(("var_ncap"=[1]OUT_TransportEnergyCons!$B$4:$B$10000)*1,("-"=[1]OUT_TransportEnergyCons!$C$4:$C$10000)*1,ISNUMBER(SEARCH("T_C*hy*GSL*s1",[1]OUT_TransportEnergyCons!$A$4:$A$10000))*1,[1]OUT_TransportEnergyCons!E$4:E$10000)</f>
        <v>1.7648533996345809E-4</v>
      </c>
      <c r="H2128" s="1" cm="1">
        <f t="array" ref="H2128">SUMPRODUCT(("var_ncap"=[1]OUT_TransportEnergyCons!$B$4:$B$10000)*1,("-"=[1]OUT_TransportEnergyCons!$C$4:$C$10000)*1,ISNUMBER(SEARCH("T_C*hy*GSL*s1",[1]OUT_TransportEnergyCons!$A$4:$A$10000))*1,[1]OUT_TransportEnergyCons!F$4:F$10000)</f>
        <v>1.834352103529667E-2</v>
      </c>
      <c r="I2128" s="1" cm="1">
        <f t="array" ref="I2128">SUMPRODUCT(("var_ncap"=[1]OUT_TransportEnergyCons!$B$4:$B$10000)*1,("-"=[1]OUT_TransportEnergyCons!$C$4:$C$10000)*1,ISNUMBER(SEARCH("T_C*hy*GSL*s1",[1]OUT_TransportEnergyCons!$A$4:$A$10000))*1,[1]OUT_TransportEnergyCons!G$4:G$10000)</f>
        <v>2.6251938415350508E-4</v>
      </c>
      <c r="J2128" s="1" cm="1">
        <f t="array" ref="J2128">SUMPRODUCT(("var_ncap"=[1]OUT_TransportEnergyCons!$B$4:$B$10000)*1,("-"=[1]OUT_TransportEnergyCons!$C$4:$C$10000)*1,ISNUMBER(SEARCH("T_C*hy*GSL*s1",[1]OUT_TransportEnergyCons!$A$4:$A$10000))*1,[1]OUT_TransportEnergyCons!H$4:H$10000)</f>
        <v>8.4303305290277367E-2</v>
      </c>
      <c r="K2128" s="1" cm="1">
        <f t="array" ref="K2128">SUMPRODUCT(("var_ncap"=[1]OUT_TransportEnergyCons!$B$4:$B$10000)*1,("-"=[1]OUT_TransportEnergyCons!$C$4:$C$10000)*1,ISNUMBER(SEARCH("T_C*hy*GSL*s1",[1]OUT_TransportEnergyCons!$A$4:$A$10000))*1,[1]OUT_TransportEnergyCons!I$4:I$10000)</f>
        <v>2.30169685718152E-4</v>
      </c>
    </row>
    <row r="2129" spans="2:11" x14ac:dyDescent="0.35">
      <c r="B2129" s="5" t="str">
        <f t="shared" si="1308"/>
        <v>SPS4</v>
      </c>
      <c r="C2129" s="5" t="str">
        <f t="shared" si="1303"/>
        <v>CH</v>
      </c>
      <c r="D2129" t="s">
        <v>2280</v>
      </c>
      <c r="E2129" t="str">
        <f t="shared" si="1309"/>
        <v>Million</v>
      </c>
      <c r="F2129" s="1" cm="1">
        <f t="array" ref="F2129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SUMPRODUCT(("var_ncap"=[1]OUT_TransportEnergyCons!$B$4:$B$10000)*1,("-"=[1]OUT_TransportEnergyCons!$C$4:$C$10000)*1,ISNUMBER(SEARCH("T_C*hy*GSL*s2",[1]OUT_TransportEnergyCons!$A$4:$A$10000))*1,[1]OUT_TransportEnergyCons!E$4:E$10000)</f>
        <v>8.7320593020689032E-3</v>
      </c>
      <c r="H2129" s="1" cm="1">
        <f t="array" ref="H2129">SUMPRODUCT(("var_ncap"=[1]OUT_TransportEnergyCons!$B$4:$B$10000)*1,("-"=[1]OUT_TransportEnergyCons!$C$4:$C$10000)*1,ISNUMBER(SEARCH("T_C*hy*GSL*s2",[1]OUT_TransportEnergyCons!$A$4:$A$10000))*1,[1]OUT_TransportEnergyCons!F$4:F$10000)</f>
        <v>5.3559680163679742E-2</v>
      </c>
      <c r="I2129" s="1" cm="1">
        <f t="array" ref="I2129">SUMPRODUCT(("var_ncap"=[1]OUT_TransportEnergyCons!$B$4:$B$10000)*1,("-"=[1]OUT_TransportEnergyCons!$C$4:$C$10000)*1,ISNUMBER(SEARCH("T_C*hy*GSL*s2",[1]OUT_TransportEnergyCons!$A$4:$A$10000))*1,[1]OUT_TransportEnergyCons!G$4:G$10000)</f>
        <v>2.5224640043454931E-4</v>
      </c>
      <c r="J2129" s="1" cm="1">
        <f t="array" ref="J2129">SUMPRODUCT(("var_ncap"=[1]OUT_TransportEnergyCons!$B$4:$B$10000)*1,("-"=[1]OUT_TransportEnergyCons!$C$4:$C$10000)*1,ISNUMBER(SEARCH("T_C*hy*GSL*s2",[1]OUT_TransportEnergyCons!$A$4:$A$10000))*1,[1]OUT_TransportEnergyCons!H$4:H$10000)</f>
        <v>2.2545527314305603E-4</v>
      </c>
      <c r="K2129" s="1" cm="1">
        <f t="array" ref="K2129">SUMPRODUCT(("var_ncap"=[1]OUT_TransportEnergyCons!$B$4:$B$10000)*1,("-"=[1]OUT_TransportEnergyCons!$C$4:$C$10000)*1,ISNUMBER(SEARCH("T_C*hy*GSL*s2",[1]OUT_TransportEnergyCons!$A$4:$A$10000))*1,[1]OUT_TransportEnergyCons!I$4:I$10000)</f>
        <v>0.11964284966333846</v>
      </c>
    </row>
    <row r="2130" spans="2:11" x14ac:dyDescent="0.35">
      <c r="B2130" s="5" t="str">
        <f t="shared" si="1308"/>
        <v>SPS4</v>
      </c>
      <c r="C2130" s="5" t="str">
        <f t="shared" si="1303"/>
        <v>CH</v>
      </c>
      <c r="D2130" t="s">
        <v>2281</v>
      </c>
      <c r="E2130" t="str">
        <f t="shared" si="1309"/>
        <v>Million</v>
      </c>
      <c r="F2130" s="1" cm="1">
        <f t="array" ref="F2130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SUMPRODUCT(("var_ncap"=[1]OUT_TransportEnergyCons!$B$4:$B$10000)*1,("-"=[1]OUT_TransportEnergyCons!$C$4:$C$10000)*1,ISNUMBER(SEARCH("T_C*hy*GSL*s3",[1]OUT_TransportEnergyCons!$A$4:$A$10000))*1,[1]OUT_TransportEnergyCons!E$4:E$10000)</f>
        <v>0.1855107071456622</v>
      </c>
      <c r="H2130" s="1" cm="1">
        <f t="array" ref="H2130">SUMPRODUCT(("var_ncap"=[1]OUT_TransportEnergyCons!$B$4:$B$10000)*1,("-"=[1]OUT_TransportEnergyCons!$C$4:$C$10000)*1,ISNUMBER(SEARCH("T_C*hy*GSL*s3",[1]OUT_TransportEnergyCons!$A$4:$A$10000))*1,[1]OUT_TransportEnergyCons!F$4:F$10000)</f>
        <v>7.9440887954773497E-5</v>
      </c>
      <c r="I2130" s="1" cm="1">
        <f t="array" ref="I2130">SUMPRODUCT(("var_ncap"=[1]OUT_TransportEnergyCons!$B$4:$B$10000)*1,("-"=[1]OUT_TransportEnergyCons!$C$4:$C$10000)*1,ISNUMBER(SEARCH("T_C*hy*GSL*s3",[1]OUT_TransportEnergyCons!$A$4:$A$10000))*1,[1]OUT_TransportEnergyCons!G$4:G$10000)</f>
        <v>8.8436859092042505E-5</v>
      </c>
      <c r="J2130" s="1" cm="1">
        <f t="array" ref="J2130">SUMPRODUCT(("var_ncap"=[1]OUT_TransportEnergyCons!$B$4:$B$10000)*1,("-"=[1]OUT_TransportEnergyCons!$C$4:$C$10000)*1,ISNUMBER(SEARCH("T_C*hy*GSL*s3",[1]OUT_TransportEnergyCons!$A$4:$A$10000))*1,[1]OUT_TransportEnergyCons!H$4:H$10000)</f>
        <v>5.4362260247071403E-5</v>
      </c>
      <c r="K2130" s="1" cm="1">
        <f t="array" ref="K2130">SUMPRODUCT(("var_ncap"=[1]OUT_TransportEnergyCons!$B$4:$B$10000)*1,("-"=[1]OUT_TransportEnergyCons!$C$4:$C$10000)*1,ISNUMBER(SEARCH("T_C*hy*GSL*s3",[1]OUT_TransportEnergyCons!$A$4:$A$10000))*1,[1]OUT_TransportEnergyCons!I$4:I$10000)</f>
        <v>3.9183237560633499E-5</v>
      </c>
    </row>
    <row r="2131" spans="2:11" x14ac:dyDescent="0.35">
      <c r="B2131" s="5" t="str">
        <f t="shared" si="1308"/>
        <v>SPS4</v>
      </c>
      <c r="C2131" s="5" t="str">
        <f t="shared" si="1303"/>
        <v>CH</v>
      </c>
      <c r="D2131" t="s">
        <v>2282</v>
      </c>
      <c r="E2131" t="str">
        <f t="shared" si="1309"/>
        <v>Million</v>
      </c>
      <c r="F2131" s="1" cm="1">
        <f t="array" ref="F2131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SUMPRODUCT(("var_ncap"=[1]OUT_TransportEnergyCons!$B$4:$B$10000)*1,("-"=[1]OUT_TransportEnergyCons!$C$4:$C$10000)*1,ISNUMBER(SEARCH("T_C*hy*GSL*s4",[1]OUT_TransportEnergyCons!$A$4:$A$10000))*1,[1]OUT_TransportEnergyCons!E$4:E$10000)</f>
        <v>1.0815310916698249E-4</v>
      </c>
      <c r="H2131" s="1" cm="1">
        <f t="array" ref="H2131">SUMPRODUCT(("var_ncap"=[1]OUT_TransportEnergyCons!$B$4:$B$10000)*1,("-"=[1]OUT_TransportEnergyCons!$C$4:$C$10000)*1,ISNUMBER(SEARCH("T_C*hy*GSL*s4",[1]OUT_TransportEnergyCons!$A$4:$A$10000))*1,[1]OUT_TransportEnergyCons!F$4:F$10000)</f>
        <v>1.4251529535381379E-4</v>
      </c>
      <c r="I2131" s="1" cm="1">
        <f t="array" ref="I2131">SUMPRODUCT(("var_ncap"=[1]OUT_TransportEnergyCons!$B$4:$B$10000)*1,("-"=[1]OUT_TransportEnergyCons!$C$4:$C$10000)*1,ISNUMBER(SEARCH("T_C*hy*GSL*s4",[1]OUT_TransportEnergyCons!$A$4:$A$10000))*1,[1]OUT_TransportEnergyCons!G$4:G$10000)</f>
        <v>0.1216933179017467</v>
      </c>
      <c r="J2131" s="1" cm="1">
        <f t="array" ref="J2131">SUMPRODUCT(("var_ncap"=[1]OUT_TransportEnergyCons!$B$4:$B$10000)*1,("-"=[1]OUT_TransportEnergyCons!$C$4:$C$10000)*1,ISNUMBER(SEARCH("T_C*hy*GSL*s4",[1]OUT_TransportEnergyCons!$A$4:$A$10000))*1,[1]OUT_TransportEnergyCons!H$4:H$10000)</f>
        <v>9.2304433628452143E-2</v>
      </c>
      <c r="K2131" s="1" cm="1">
        <f t="array" ref="K2131">SUMPRODUCT(("var_ncap"=[1]OUT_TransportEnergyCons!$B$4:$B$10000)*1,("-"=[1]OUT_TransportEnergyCons!$C$4:$C$10000)*1,ISNUMBER(SEARCH("T_C*hy*GSL*s4",[1]OUT_TransportEnergyCons!$A$4:$A$10000))*1,[1]OUT_TransportEnergyCons!I$4:I$10000)</f>
        <v>0.16899208112206368</v>
      </c>
    </row>
    <row r="2132" spans="2:11" x14ac:dyDescent="0.35">
      <c r="B2132" s="5" t="str">
        <f t="shared" si="1308"/>
        <v>SPS4</v>
      </c>
      <c r="C2132" s="5" t="str">
        <f t="shared" si="1303"/>
        <v>CH</v>
      </c>
      <c r="D2132" t="s">
        <v>2283</v>
      </c>
      <c r="E2132" t="str">
        <f t="shared" si="1309"/>
        <v>Million</v>
      </c>
      <c r="F2132" s="1" cm="1">
        <f t="array" ref="F2132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2" s="1" cm="1">
        <f t="array" ref="J2132">SUMPRODUCT(("var_ncap"=[1]OUT_TransportEnergyCons!$B$4:$B$10000)*1,("-"=[1]OUT_TransportEnergyCons!$C$4:$C$10000)*1,ISNUMBER(SEARCH("T_C*ICE*GSL*ext",[1]OUT_TransportEnergyCons!$A$4:$A$10000))*1,[1]OUT_TransportEnergyCons!H$4:H$10000)</f>
        <v>0</v>
      </c>
      <c r="K2132" s="1" cm="1">
        <f t="array" ref="K2132">SUMPRODUCT(("var_ncap"=[1]OUT_TransportEnergyCons!$B$4:$B$10000)*1,("-"=[1]OUT_TransportEnergyCons!$C$4:$C$10000)*1,ISNUMBER(SEARCH("T_C*ICE*GSL*ext",[1]OUT_TransportEnergyCons!$A$4:$A$10000))*1,[1]OUT_TransportEnergyCons!I$4:I$10000)</f>
        <v>0</v>
      </c>
    </row>
    <row r="2133" spans="2:11" x14ac:dyDescent="0.35">
      <c r="B2133" s="5" t="str">
        <f t="shared" si="1308"/>
        <v>SPS4</v>
      </c>
      <c r="C2133" s="5" t="str">
        <f t="shared" si="1303"/>
        <v>CH</v>
      </c>
      <c r="D2133" t="s">
        <v>2284</v>
      </c>
      <c r="E2133" t="str">
        <f t="shared" si="1309"/>
        <v>Million</v>
      </c>
      <c r="F2133" s="1" cm="1">
        <f t="array" ref="F2133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SUMPRODUCT(("var_ncap"=[1]OUT_TransportEnergyCons!$B$4:$B$10000)*1,("-"=[1]OUT_TransportEnergyCons!$C$4:$C$10000)*1,ISNUMBER(SEARCH("T_C*ICE*GSL*s1",[1]OUT_TransportEnergyCons!$A$4:$A$10000))*1,[1]OUT_TransportEnergyCons!E$4:E$10000)</f>
        <v>2.9468250405788799E-5</v>
      </c>
      <c r="H2133" s="1" cm="1">
        <f t="array" ref="H2133">SUMPRODUCT(("var_ncap"=[1]OUT_TransportEnergyCons!$B$4:$B$10000)*1,("-"=[1]OUT_TransportEnergyCons!$C$4:$C$10000)*1,ISNUMBER(SEARCH("T_C*ICE*GSL*s1",[1]OUT_TransportEnergyCons!$A$4:$A$10000))*1,[1]OUT_TransportEnergyCons!F$4:F$10000)</f>
        <v>6.07251419347088E-2</v>
      </c>
      <c r="I2133" s="1" cm="1">
        <f t="array" ref="I2133">SUMPRODUCT(("var_ncap"=[1]OUT_TransportEnergyCons!$B$4:$B$10000)*1,("-"=[1]OUT_TransportEnergyCons!$C$4:$C$10000)*1,ISNUMBER(SEARCH("T_C*ICE*GSL*s1",[1]OUT_TransportEnergyCons!$A$4:$A$10000))*1,[1]OUT_TransportEnergyCons!G$4:G$10000)</f>
        <v>6.5930986742635003E-5</v>
      </c>
      <c r="J2133" s="1" cm="1">
        <f t="array" ref="J2133">SUMPRODUCT(("var_ncap"=[1]OUT_TransportEnergyCons!$B$4:$B$10000)*1,("-"=[1]OUT_TransportEnergyCons!$C$4:$C$10000)*1,ISNUMBER(SEARCH("T_C*ICE*GSL*s1",[1]OUT_TransportEnergyCons!$A$4:$A$10000))*1,[1]OUT_TransportEnergyCons!H$4:H$10000)</f>
        <v>3.0512702792198401E-5</v>
      </c>
      <c r="K2133" s="1" cm="1">
        <f t="array" ref="K2133">SUMPRODUCT(("var_ncap"=[1]OUT_TransportEnergyCons!$B$4:$B$10000)*1,("-"=[1]OUT_TransportEnergyCons!$C$4:$C$10000)*1,ISNUMBER(SEARCH("T_C*ICE*GSL*s1",[1]OUT_TransportEnergyCons!$A$4:$A$10000))*1,[1]OUT_TransportEnergyCons!I$4:I$10000)</f>
        <v>9.8935537946776098E-6</v>
      </c>
    </row>
    <row r="2134" spans="2:11" x14ac:dyDescent="0.35">
      <c r="B2134" s="5" t="str">
        <f t="shared" si="1308"/>
        <v>SPS4</v>
      </c>
      <c r="C2134" s="5" t="str">
        <f t="shared" si="1303"/>
        <v>CH</v>
      </c>
      <c r="D2134" t="s">
        <v>2285</v>
      </c>
      <c r="E2134" t="str">
        <f t="shared" si="1309"/>
        <v>Million</v>
      </c>
      <c r="F2134" s="1" cm="1">
        <f t="array" ref="F2134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SUMPRODUCT(("var_ncap"=[1]OUT_TransportEnergyCons!$B$4:$B$10000)*1,("-"=[1]OUT_TransportEnergyCons!$C$4:$C$10000)*1,ISNUMBER(SEARCH("T_C*ICE*GSL*s2",[1]OUT_TransportEnergyCons!$A$4:$A$10000))*1,[1]OUT_TransportEnergyCons!E$4:E$10000)</f>
        <v>2.2176513357260498E-5</v>
      </c>
      <c r="H2134" s="1" cm="1">
        <f t="array" ref="H2134">SUMPRODUCT(("var_ncap"=[1]OUT_TransportEnergyCons!$B$4:$B$10000)*1,("-"=[1]OUT_TransportEnergyCons!$C$4:$C$10000)*1,ISNUMBER(SEARCH("T_C*ICE*GSL*s2",[1]OUT_TransportEnergyCons!$A$4:$A$10000))*1,[1]OUT_TransportEnergyCons!F$4:F$10000)</f>
        <v>2.0245005973746899E-3</v>
      </c>
      <c r="I2134" s="1" cm="1">
        <f t="array" ref="I2134">SUMPRODUCT(("var_ncap"=[1]OUT_TransportEnergyCons!$B$4:$B$10000)*1,("-"=[1]OUT_TransportEnergyCons!$C$4:$C$10000)*1,ISNUMBER(SEARCH("T_C*ICE*GSL*s2",[1]OUT_TransportEnergyCons!$A$4:$A$10000))*1,[1]OUT_TransportEnergyCons!G$4:G$10000)</f>
        <v>1.50863097513411E-4</v>
      </c>
      <c r="J2134" s="1" cm="1">
        <f t="array" ref="J2134">SUMPRODUCT(("var_ncap"=[1]OUT_TransportEnergyCons!$B$4:$B$10000)*1,("-"=[1]OUT_TransportEnergyCons!$C$4:$C$10000)*1,ISNUMBER(SEARCH("T_C*ICE*GSL*s2",[1]OUT_TransportEnergyCons!$A$4:$A$10000))*1,[1]OUT_TransportEnergyCons!H$4:H$10000)</f>
        <v>3.5799739115375302E-5</v>
      </c>
      <c r="K2134" s="1" cm="1">
        <f t="array" ref="K2134">SUMPRODUCT(("var_ncap"=[1]OUT_TransportEnergyCons!$B$4:$B$10000)*1,("-"=[1]OUT_TransportEnergyCons!$C$4:$C$10000)*1,ISNUMBER(SEARCH("T_C*ICE*GSL*s2",[1]OUT_TransportEnergyCons!$A$4:$A$10000))*1,[1]OUT_TransportEnergyCons!I$4:I$10000)</f>
        <v>1.31266621832558E-5</v>
      </c>
    </row>
    <row r="2135" spans="2:11" x14ac:dyDescent="0.35">
      <c r="B2135" s="5" t="str">
        <f t="shared" si="1308"/>
        <v>SPS4</v>
      </c>
      <c r="C2135" s="5" t="str">
        <f t="shared" si="1303"/>
        <v>CH</v>
      </c>
      <c r="D2135" t="s">
        <v>2286</v>
      </c>
      <c r="E2135" t="str">
        <f t="shared" si="1309"/>
        <v>Million</v>
      </c>
      <c r="F2135" s="1" cm="1">
        <f t="array" ref="F2135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SUMPRODUCT(("var_ncap"=[1]OUT_TransportEnergyCons!$B$4:$B$10000)*1,("-"=[1]OUT_TransportEnergyCons!$C$4:$C$10000)*1,ISNUMBER(SEARCH("T_C*ICE*GSL*s3",[1]OUT_TransportEnergyCons!$A$4:$A$10000))*1,[1]OUT_TransportEnergyCons!E$4:E$10000)</f>
        <v>3.6405331398702501E-5</v>
      </c>
      <c r="H2135" s="1" cm="1">
        <f t="array" ref="H2135">SUMPRODUCT(("var_ncap"=[1]OUT_TransportEnergyCons!$B$4:$B$10000)*1,("-"=[1]OUT_TransportEnergyCons!$C$4:$C$10000)*1,ISNUMBER(SEARCH("T_C*ICE*GSL*s3",[1]OUT_TransportEnergyCons!$A$4:$A$10000))*1,[1]OUT_TransportEnergyCons!F$4:F$10000)</f>
        <v>4.1934003990380102E-2</v>
      </c>
      <c r="I2135" s="1" cm="1">
        <f t="array" ref="I2135">SUMPRODUCT(("var_ncap"=[1]OUT_TransportEnergyCons!$B$4:$B$10000)*1,("-"=[1]OUT_TransportEnergyCons!$C$4:$C$10000)*1,ISNUMBER(SEARCH("T_C*ICE*GSL*s3",[1]OUT_TransportEnergyCons!$A$4:$A$10000))*1,[1]OUT_TransportEnergyCons!G$4:G$10000)</f>
        <v>1.2131432356918001E-4</v>
      </c>
      <c r="J2135" s="1" cm="1">
        <f t="array" ref="J2135">SUMPRODUCT(("var_ncap"=[1]OUT_TransportEnergyCons!$B$4:$B$10000)*1,("-"=[1]OUT_TransportEnergyCons!$C$4:$C$10000)*1,ISNUMBER(SEARCH("T_C*ICE*GSL*s3",[1]OUT_TransportEnergyCons!$A$4:$A$10000))*1,[1]OUT_TransportEnergyCons!H$4:H$10000)</f>
        <v>4.6088742563855298E-5</v>
      </c>
      <c r="K2135" s="1" cm="1">
        <f t="array" ref="K2135">SUMPRODUCT(("var_ncap"=[1]OUT_TransportEnergyCons!$B$4:$B$10000)*1,("-"=[1]OUT_TransportEnergyCons!$C$4:$C$10000)*1,ISNUMBER(SEARCH("T_C*ICE*GSL*s3",[1]OUT_TransportEnergyCons!$A$4:$A$10000))*1,[1]OUT_TransportEnergyCons!I$4:I$10000)</f>
        <v>2.3181127540887699E-5</v>
      </c>
    </row>
    <row r="2136" spans="2:11" x14ac:dyDescent="0.35">
      <c r="B2136" s="5" t="str">
        <f t="shared" si="1308"/>
        <v>SPS4</v>
      </c>
      <c r="C2136" s="5" t="str">
        <f t="shared" si="1303"/>
        <v>CH</v>
      </c>
      <c r="D2136" t="s">
        <v>2287</v>
      </c>
      <c r="E2136" t="str">
        <f t="shared" si="1309"/>
        <v>Million</v>
      </c>
      <c r="F2136" s="1" cm="1">
        <f t="array" ref="F2136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SUMPRODUCT(("var_ncap"=[1]OUT_TransportEnergyCons!$B$4:$B$10000)*1,("-"=[1]OUT_TransportEnergyCons!$C$4:$C$10000)*1,ISNUMBER(SEARCH("T_C*ICE*GSL*s4",[1]OUT_TransportEnergyCons!$A$4:$A$10000))*1,[1]OUT_TransportEnergyCons!E$4:E$10000)</f>
        <v>2.8435591585627099E-5</v>
      </c>
      <c r="H2136" s="1" cm="1">
        <f t="array" ref="H2136">SUMPRODUCT(("var_ncap"=[1]OUT_TransportEnergyCons!$B$4:$B$10000)*1,("-"=[1]OUT_TransportEnergyCons!$C$4:$C$10000)*1,ISNUMBER(SEARCH("T_C*ICE*GSL*s4",[1]OUT_TransportEnergyCons!$A$4:$A$10000))*1,[1]OUT_TransportEnergyCons!F$4:F$10000)</f>
        <v>0.21906779687074401</v>
      </c>
      <c r="I2136" s="1" cm="1">
        <f t="array" ref="I2136">SUMPRODUCT(("var_ncap"=[1]OUT_TransportEnergyCons!$B$4:$B$10000)*1,("-"=[1]OUT_TransportEnergyCons!$C$4:$C$10000)*1,ISNUMBER(SEARCH("T_C*ICE*GSL*s4",[1]OUT_TransportEnergyCons!$A$4:$A$10000))*1,[1]OUT_TransportEnergyCons!G$4:G$10000)</f>
        <v>0.54067691776725302</v>
      </c>
      <c r="J2136" s="1" cm="1">
        <f t="array" ref="J2136">SUMPRODUCT(("var_ncap"=[1]OUT_TransportEnergyCons!$B$4:$B$10000)*1,("-"=[1]OUT_TransportEnergyCons!$C$4:$C$10000)*1,ISNUMBER(SEARCH("T_C*ICE*GSL*s4",[1]OUT_TransportEnergyCons!$A$4:$A$10000))*1,[1]OUT_TransportEnergyCons!H$4:H$10000)</f>
        <v>0.52879492463302402</v>
      </c>
      <c r="K2136" s="1" cm="1">
        <f t="array" ref="K2136">SUMPRODUCT(("var_ncap"=[1]OUT_TransportEnergyCons!$B$4:$B$10000)*1,("-"=[1]OUT_TransportEnergyCons!$C$4:$C$10000)*1,ISNUMBER(SEARCH("T_C*ICE*GSL*s4",[1]OUT_TransportEnergyCons!$A$4:$A$10000))*1,[1]OUT_TransportEnergyCons!I$4:I$10000)</f>
        <v>1.0174947869420099</v>
      </c>
    </row>
    <row r="2137" spans="2:11" x14ac:dyDescent="0.35">
      <c r="B2137" s="5" t="str">
        <f t="shared" si="1308"/>
        <v>SPS4</v>
      </c>
      <c r="C2137" s="5" t="str">
        <f t="shared" si="1303"/>
        <v>CH</v>
      </c>
      <c r="D2137" t="s">
        <v>2288</v>
      </c>
      <c r="E2137" t="str">
        <f t="shared" si="1309"/>
        <v>Million</v>
      </c>
      <c r="F2137" s="1" cm="1">
        <f t="array" ref="F2137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SUMPRODUCT(("var_ncap"=[1]OUT_TransportEnergyCons!$B$4:$B$10000)*1,("-"=[1]OUT_TransportEnergyCons!$C$4:$C$10000)*1,ISNUMBER(SEARCH("T_C*mhy*GSL*s1",[1]OUT_TransportEnergyCons!$A$4:$A$10000))*1,[1]OUT_TransportEnergyCons!E$4:E$10000)</f>
        <v>2.8986112014358099E-5</v>
      </c>
      <c r="H2137" s="1" cm="1">
        <f t="array" ref="H2137">SUMPRODUCT(("var_ncap"=[1]OUT_TransportEnergyCons!$B$4:$B$10000)*1,("-"=[1]OUT_TransportEnergyCons!$C$4:$C$10000)*1,ISNUMBER(SEARCH("T_C*mhy*GSL*s1",[1]OUT_TransportEnergyCons!$A$4:$A$10000))*1,[1]OUT_TransportEnergyCons!F$4:F$10000)</f>
        <v>1.8165542549573199E-2</v>
      </c>
      <c r="I2137" s="1" cm="1">
        <f t="array" ref="I2137">SUMPRODUCT(("var_ncap"=[1]OUT_TransportEnergyCons!$B$4:$B$10000)*1,("-"=[1]OUT_TransportEnergyCons!$C$4:$C$10000)*1,ISNUMBER(SEARCH("T_C*mhy*GSL*s1",[1]OUT_TransportEnergyCons!$A$4:$A$10000))*1,[1]OUT_TransportEnergyCons!G$4:G$10000)</f>
        <v>2.1106244871512699E-4</v>
      </c>
      <c r="J2137" s="1" cm="1">
        <f t="array" ref="J2137">SUMPRODUCT(("var_ncap"=[1]OUT_TransportEnergyCons!$B$4:$B$10000)*1,("-"=[1]OUT_TransportEnergyCons!$C$4:$C$10000)*1,ISNUMBER(SEARCH("T_C*mhy*GSL*s1",[1]OUT_TransportEnergyCons!$A$4:$A$10000))*1,[1]OUT_TransportEnergyCons!H$4:H$10000)</f>
        <v>4.14895656624738E-5</v>
      </c>
      <c r="K2137" s="1" cm="1">
        <f t="array" ref="K2137">SUMPRODUCT(("var_ncap"=[1]OUT_TransportEnergyCons!$B$4:$B$10000)*1,("-"=[1]OUT_TransportEnergyCons!$C$4:$C$10000)*1,ISNUMBER(SEARCH("T_C*mhy*GSL*s1",[1]OUT_TransportEnergyCons!$A$4:$A$10000))*1,[1]OUT_TransportEnergyCons!I$4:I$10000)</f>
        <v>1.090866632052E-5</v>
      </c>
    </row>
    <row r="2138" spans="2:11" x14ac:dyDescent="0.35">
      <c r="B2138" s="5" t="str">
        <f t="shared" si="1308"/>
        <v>SPS4</v>
      </c>
      <c r="C2138" s="5" t="str">
        <f t="shared" si="1303"/>
        <v>CH</v>
      </c>
      <c r="D2138" t="s">
        <v>2289</v>
      </c>
      <c r="E2138" t="str">
        <f t="shared" si="1309"/>
        <v>Million</v>
      </c>
      <c r="F2138" s="1" cm="1">
        <f t="array" ref="F2138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SUMPRODUCT(("var_ncap"=[1]OUT_TransportEnergyCons!$B$4:$B$10000)*1,("-"=[1]OUT_TransportEnergyCons!$C$4:$C$10000)*1,ISNUMBER(SEARCH("T_C*mhy*GSL*s2",[1]OUT_TransportEnergyCons!$A$4:$A$10000))*1,[1]OUT_TransportEnergyCons!E$4:E$10000)</f>
        <v>1.1535772509762201E-5</v>
      </c>
      <c r="H2138" s="1" cm="1">
        <f t="array" ref="H2138">SUMPRODUCT(("var_ncap"=[1]OUT_TransportEnergyCons!$B$4:$B$10000)*1,("-"=[1]OUT_TransportEnergyCons!$C$4:$C$10000)*1,ISNUMBER(SEARCH("T_C*mhy*GSL*s2",[1]OUT_TransportEnergyCons!$A$4:$A$10000))*1,[1]OUT_TransportEnergyCons!F$4:F$10000)</f>
        <v>7.4607673651945505E-5</v>
      </c>
      <c r="I2138" s="1" cm="1">
        <f t="array" ref="I2138">SUMPRODUCT(("var_ncap"=[1]OUT_TransportEnergyCons!$B$4:$B$10000)*1,("-"=[1]OUT_TransportEnergyCons!$C$4:$C$10000)*1,ISNUMBER(SEARCH("T_C*mhy*GSL*s2",[1]OUT_TransportEnergyCons!$A$4:$A$10000))*1,[1]OUT_TransportEnergyCons!G$4:G$10000)</f>
        <v>1.70544538945751E-4</v>
      </c>
      <c r="J2138" s="1" cm="1">
        <f t="array" ref="J2138">SUMPRODUCT(("var_ncap"=[1]OUT_TransportEnergyCons!$B$4:$B$10000)*1,("-"=[1]OUT_TransportEnergyCons!$C$4:$C$10000)*1,ISNUMBER(SEARCH("T_C*mhy*GSL*s2",[1]OUT_TransportEnergyCons!$A$4:$A$10000))*1,[1]OUT_TransportEnergyCons!H$4:H$10000)</f>
        <v>3.3093547544799001E-5</v>
      </c>
      <c r="K2138" s="1" cm="1">
        <f t="array" ref="K2138">SUMPRODUCT(("var_ncap"=[1]OUT_TransportEnergyCons!$B$4:$B$10000)*1,("-"=[1]OUT_TransportEnergyCons!$C$4:$C$10000)*1,ISNUMBER(SEARCH("T_C*mhy*GSL*s2",[1]OUT_TransportEnergyCons!$A$4:$A$10000))*1,[1]OUT_TransportEnergyCons!I$4:I$10000)</f>
        <v>1.2241482471467001E-5</v>
      </c>
    </row>
    <row r="2139" spans="2:11" x14ac:dyDescent="0.35">
      <c r="B2139" s="5" t="str">
        <f t="shared" si="1308"/>
        <v>SPS4</v>
      </c>
      <c r="C2139" s="5" t="str">
        <f t="shared" si="1303"/>
        <v>CH</v>
      </c>
      <c r="D2139" t="s">
        <v>2290</v>
      </c>
      <c r="E2139" t="str">
        <f t="shared" si="1309"/>
        <v>Million</v>
      </c>
      <c r="F2139" s="1" cm="1">
        <f t="array" ref="F2139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SUMPRODUCT(("var_ncap"=[1]OUT_TransportEnergyCons!$B$4:$B$10000)*1,("-"=[1]OUT_TransportEnergyCons!$C$4:$C$10000)*1,ISNUMBER(SEARCH("T_C*mhy*GSL*s3",[1]OUT_TransportEnergyCons!$A$4:$A$10000))*1,[1]OUT_TransportEnergyCons!E$4:E$10000)</f>
        <v>1.39110748302087E-5</v>
      </c>
      <c r="H2139" s="1" cm="1">
        <f t="array" ref="H2139">SUMPRODUCT(("var_ncap"=[1]OUT_TransportEnergyCons!$B$4:$B$10000)*1,("-"=[1]OUT_TransportEnergyCons!$C$4:$C$10000)*1,ISNUMBER(SEARCH("T_C*mhy*GSL*s3",[1]OUT_TransportEnergyCons!$A$4:$A$10000))*1,[1]OUT_TransportEnergyCons!F$4:F$10000)</f>
        <v>4.8870097056183902E-5</v>
      </c>
      <c r="I2139" s="1" cm="1">
        <f t="array" ref="I2139">SUMPRODUCT(("var_ncap"=[1]OUT_TransportEnergyCons!$B$4:$B$10000)*1,("-"=[1]OUT_TransportEnergyCons!$C$4:$C$10000)*1,ISNUMBER(SEARCH("T_C*mhy*GSL*s3",[1]OUT_TransportEnergyCons!$A$4:$A$10000))*1,[1]OUT_TransportEnergyCons!G$4:G$10000)</f>
        <v>7.1471609903179102E-5</v>
      </c>
      <c r="J2139" s="1" cm="1">
        <f t="array" ref="J2139">SUMPRODUCT(("var_ncap"=[1]OUT_TransportEnergyCons!$B$4:$B$10000)*1,("-"=[1]OUT_TransportEnergyCons!$C$4:$C$10000)*1,ISNUMBER(SEARCH("T_C*mhy*GSL*s3",[1]OUT_TransportEnergyCons!$A$4:$A$10000))*1,[1]OUT_TransportEnergyCons!H$4:H$10000)</f>
        <v>3.22280148411351E-5</v>
      </c>
      <c r="K2139" s="1" cm="1">
        <f t="array" ref="K2139">SUMPRODUCT(("var_ncap"=[1]OUT_TransportEnergyCons!$B$4:$B$10000)*1,("-"=[1]OUT_TransportEnergyCons!$C$4:$C$10000)*1,ISNUMBER(SEARCH("T_C*mhy*GSL*s3",[1]OUT_TransportEnergyCons!$A$4:$A$10000))*1,[1]OUT_TransportEnergyCons!I$4:I$10000)</f>
        <v>1.7271730992073998E-5</v>
      </c>
    </row>
    <row r="2140" spans="2:11" x14ac:dyDescent="0.35">
      <c r="B2140" s="5" t="str">
        <f t="shared" si="1308"/>
        <v>SPS4</v>
      </c>
      <c r="C2140" s="5" t="str">
        <f t="shared" si="1303"/>
        <v>CH</v>
      </c>
      <c r="D2140" t="s">
        <v>2291</v>
      </c>
      <c r="E2140" t="str">
        <f t="shared" si="1309"/>
        <v>Million</v>
      </c>
      <c r="F2140" s="1" cm="1">
        <f t="array" ref="F2140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SUMPRODUCT(("var_ncap"=[1]OUT_TransportEnergyCons!$B$4:$B$10000)*1,("-"=[1]OUT_TransportEnergyCons!$C$4:$C$10000)*1,ISNUMBER(SEARCH("T_C*mhy*GSL*s4",[1]OUT_TransportEnergyCons!$A$4:$A$10000))*1,[1]OUT_TransportEnergyCons!E$4:E$10000)</f>
        <v>2.1306458813111699E-5</v>
      </c>
      <c r="H2140" s="1" cm="1">
        <f t="array" ref="H2140">SUMPRODUCT(("var_ncap"=[1]OUT_TransportEnergyCons!$B$4:$B$10000)*1,("-"=[1]OUT_TransportEnergyCons!$C$4:$C$10000)*1,ISNUMBER(SEARCH("T_C*mhy*GSL*s4",[1]OUT_TransportEnergyCons!$A$4:$A$10000))*1,[1]OUT_TransportEnergyCons!F$4:F$10000)</f>
        <v>1.13138753289559E-4</v>
      </c>
      <c r="I2140" s="1" cm="1">
        <f t="array" ref="I2140">SUMPRODUCT(("var_ncap"=[1]OUT_TransportEnergyCons!$B$4:$B$10000)*1,("-"=[1]OUT_TransportEnergyCons!$C$4:$C$10000)*1,ISNUMBER(SEARCH("T_C*mhy*GSL*s4",[1]OUT_TransportEnergyCons!$A$4:$A$10000))*1,[1]OUT_TransportEnergyCons!G$4:G$10000)</f>
        <v>0.121673235412043</v>
      </c>
      <c r="J2140" s="1" cm="1">
        <f t="array" ref="J2140">SUMPRODUCT(("var_ncap"=[1]OUT_TransportEnergyCons!$B$4:$B$10000)*1,("-"=[1]OUT_TransportEnergyCons!$C$4:$C$10000)*1,ISNUMBER(SEARCH("T_C*mhy*GSL*s4",[1]OUT_TransportEnergyCons!$A$4:$A$10000))*1,[1]OUT_TransportEnergyCons!H$4:H$10000)</f>
        <v>9.2264414995409702E-2</v>
      </c>
      <c r="K2140" s="1" cm="1">
        <f t="array" ref="K2140">SUMPRODUCT(("var_ncap"=[1]OUT_TransportEnergyCons!$B$4:$B$10000)*1,("-"=[1]OUT_TransportEnergyCons!$C$4:$C$10000)*1,ISNUMBER(SEARCH("T_C*mhy*GSL*s4",[1]OUT_TransportEnergyCons!$A$4:$A$10000))*1,[1]OUT_TransportEnergyCons!I$4:I$10000)</f>
        <v>0.168857665026071</v>
      </c>
    </row>
    <row r="2141" spans="2:11" x14ac:dyDescent="0.35">
      <c r="B2141" s="5" t="str">
        <f t="shared" si="1308"/>
        <v>SPS4</v>
      </c>
      <c r="C2141" s="5" t="str">
        <f t="shared" si="1303"/>
        <v>CH</v>
      </c>
      <c r="D2141" t="s">
        <v>2292</v>
      </c>
      <c r="E2141" t="str">
        <f t="shared" si="1309"/>
        <v>Million</v>
      </c>
      <c r="F2141" s="1" cm="1">
        <f t="array" ref="F2141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1" s="1" cm="1">
        <f t="array" ref="H2141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1" s="1" cm="1">
        <f t="array" ref="I2141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1" s="1" cm="1">
        <f t="array" ref="J2141">SUMPRODUCT(("var_ncap"=[1]OUT_TransportEnergyCons!$B$4:$B$10000)*1,("-"=[1]OUT_TransportEnergyCons!$C$4:$C$10000)*1,ISNUMBER(SEARCH("T_C*hy*dsl*ext",[1]OUT_TransportEnergyCons!$A$4:$A$10000))*1,[1]OUT_TransportEnergyCons!H$4:H$10000)</f>
        <v>0</v>
      </c>
      <c r="K2141" s="1" cm="1">
        <f t="array" ref="K2141">SUMPRODUCT(("var_ncap"=[1]OUT_TransportEnergyCons!$B$4:$B$10000)*1,("-"=[1]OUT_TransportEnergyCons!$C$4:$C$10000)*1,ISNUMBER(SEARCH("T_C*hy*dsl*ext",[1]OUT_TransportEnergyCons!$A$4:$A$10000))*1,[1]OUT_TransportEnergyCons!I$4:I$10000)</f>
        <v>0</v>
      </c>
    </row>
    <row r="2142" spans="2:11" x14ac:dyDescent="0.35">
      <c r="B2142" s="5" t="str">
        <f t="shared" si="1308"/>
        <v>SPS4</v>
      </c>
      <c r="C2142" s="5" t="str">
        <f t="shared" si="1303"/>
        <v>CH</v>
      </c>
      <c r="D2142" t="s">
        <v>2293</v>
      </c>
      <c r="E2142" t="str">
        <f t="shared" si="1309"/>
        <v>Million</v>
      </c>
      <c r="F2142" s="1" cm="1">
        <f t="array" ref="F2142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SUMPRODUCT(("var_ncap"=[1]OUT_TransportEnergyCons!$B$4:$B$10000)*1,("-"=[1]OUT_TransportEnergyCons!$C$4:$C$10000)*1,ISNUMBER(SEARCH("T_C*hy*dsl*s1",[1]OUT_TransportEnergyCons!$A$4:$A$10000))*1,[1]OUT_TransportEnergyCons!E$4:E$10000)</f>
        <v>3.2452561590733175E-2</v>
      </c>
      <c r="H2142" s="1" cm="1">
        <f t="array" ref="H2142">SUMPRODUCT(("var_ncap"=[1]OUT_TransportEnergyCons!$B$4:$B$10000)*1,("-"=[1]OUT_TransportEnergyCons!$C$4:$C$10000)*1,ISNUMBER(SEARCH("T_C*hy*dsl*s1",[1]OUT_TransportEnergyCons!$A$4:$A$10000))*1,[1]OUT_TransportEnergyCons!F$4:F$10000)</f>
        <v>1.2968784999198251E-2</v>
      </c>
      <c r="I2142" s="1" cm="1">
        <f t="array" ref="I2142">SUMPRODUCT(("var_ncap"=[1]OUT_TransportEnergyCons!$B$4:$B$10000)*1,("-"=[1]OUT_TransportEnergyCons!$C$4:$C$10000)*1,ISNUMBER(SEARCH("T_C*hy*dsl*s1",[1]OUT_TransportEnergyCons!$A$4:$A$10000))*1,[1]OUT_TransportEnergyCons!G$4:G$10000)</f>
        <v>0.14756241614047413</v>
      </c>
      <c r="J2142" s="1" cm="1">
        <f t="array" ref="J2142">SUMPRODUCT(("var_ncap"=[1]OUT_TransportEnergyCons!$B$4:$B$10000)*1,("-"=[1]OUT_TransportEnergyCons!$C$4:$C$10000)*1,ISNUMBER(SEARCH("T_C*hy*dsl*s1",[1]OUT_TransportEnergyCons!$A$4:$A$10000))*1,[1]OUT_TransportEnergyCons!H$4:H$10000)</f>
        <v>4.9418802221083809E-2</v>
      </c>
      <c r="K2142" s="1" cm="1">
        <f t="array" ref="K2142">SUMPRODUCT(("var_ncap"=[1]OUT_TransportEnergyCons!$B$4:$B$10000)*1,("-"=[1]OUT_TransportEnergyCons!$C$4:$C$10000)*1,ISNUMBER(SEARCH("T_C*hy*dsl*s1",[1]OUT_TransportEnergyCons!$A$4:$A$10000))*1,[1]OUT_TransportEnergyCons!I$4:I$10000)</f>
        <v>2.3797341600174032E-4</v>
      </c>
    </row>
    <row r="2143" spans="2:11" x14ac:dyDescent="0.35">
      <c r="B2143" s="5" t="str">
        <f t="shared" si="1308"/>
        <v>SPS4</v>
      </c>
      <c r="C2143" s="5" t="str">
        <f t="shared" si="1303"/>
        <v>CH</v>
      </c>
      <c r="D2143" t="s">
        <v>2294</v>
      </c>
      <c r="E2143" t="str">
        <f t="shared" si="1309"/>
        <v>Million</v>
      </c>
      <c r="F2143" s="1" cm="1">
        <f t="array" ref="F2143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SUMPRODUCT(("var_ncap"=[1]OUT_TransportEnergyCons!$B$4:$B$10000)*1,("-"=[1]OUT_TransportEnergyCons!$C$4:$C$10000)*1,ISNUMBER(SEARCH("T_C*hy*dsl*s2",[1]OUT_TransportEnergyCons!$A$4:$A$10000))*1,[1]OUT_TransportEnergyCons!E$4:E$10000)</f>
        <v>0.12648281848324094</v>
      </c>
      <c r="H2143" s="1" cm="1">
        <f t="array" ref="H2143">SUMPRODUCT(("var_ncap"=[1]OUT_TransportEnergyCons!$B$4:$B$10000)*1,("-"=[1]OUT_TransportEnergyCons!$C$4:$C$10000)*1,ISNUMBER(SEARCH("T_C*hy*dsl*s2",[1]OUT_TransportEnergyCons!$A$4:$A$10000))*1,[1]OUT_TransportEnergyCons!F$4:F$10000)</f>
        <v>8.1398484824289588E-2</v>
      </c>
      <c r="I2143" s="1" cm="1">
        <f t="array" ref="I2143">SUMPRODUCT(("var_ncap"=[1]OUT_TransportEnergyCons!$B$4:$B$10000)*1,("-"=[1]OUT_TransportEnergyCons!$C$4:$C$10000)*1,ISNUMBER(SEARCH("T_C*hy*dsl*s2",[1]OUT_TransportEnergyCons!$A$4:$A$10000))*1,[1]OUT_TransportEnergyCons!G$4:G$10000)</f>
        <v>8.2336533470624192E-3</v>
      </c>
      <c r="J2143" s="1" cm="1">
        <f t="array" ref="J2143">SUMPRODUCT(("var_ncap"=[1]OUT_TransportEnergyCons!$B$4:$B$10000)*1,("-"=[1]OUT_TransportEnergyCons!$C$4:$C$10000)*1,ISNUMBER(SEARCH("T_C*hy*dsl*s2",[1]OUT_TransportEnergyCons!$A$4:$A$10000))*1,[1]OUT_TransportEnergyCons!H$4:H$10000)</f>
        <v>2.8773120830497684E-4</v>
      </c>
      <c r="K2143" s="1" cm="1">
        <f t="array" ref="K2143">SUMPRODUCT(("var_ncap"=[1]OUT_TransportEnergyCons!$B$4:$B$10000)*1,("-"=[1]OUT_TransportEnergyCons!$C$4:$C$10000)*1,ISNUMBER(SEARCH("T_C*hy*dsl*s2",[1]OUT_TransportEnergyCons!$A$4:$A$10000))*1,[1]OUT_TransportEnergyCons!I$4:I$10000)</f>
        <v>0.1610460470284836</v>
      </c>
    </row>
    <row r="2144" spans="2:11" x14ac:dyDescent="0.35">
      <c r="B2144" s="5" t="str">
        <f t="shared" si="1308"/>
        <v>SPS4</v>
      </c>
      <c r="C2144" s="5" t="str">
        <f t="shared" si="1303"/>
        <v>CH</v>
      </c>
      <c r="D2144" t="s">
        <v>2295</v>
      </c>
      <c r="E2144" t="str">
        <f t="shared" si="1309"/>
        <v>Million</v>
      </c>
      <c r="F2144" s="1" cm="1">
        <f t="array" ref="F2144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SUMPRODUCT(("var_ncap"=[1]OUT_TransportEnergyCons!$B$4:$B$10000)*1,("-"=[1]OUT_TransportEnergyCons!$C$4:$C$10000)*1,ISNUMBER(SEARCH("T_C*hy*dsl*s3",[1]OUT_TransportEnergyCons!$A$4:$A$10000))*1,[1]OUT_TransportEnergyCons!E$4:E$10000)</f>
        <v>9.0824316562411101E-5</v>
      </c>
      <c r="H2144" s="1" cm="1">
        <f t="array" ref="H2144">SUMPRODUCT(("var_ncap"=[1]OUT_TransportEnergyCons!$B$4:$B$10000)*1,("-"=[1]OUT_TransportEnergyCons!$C$4:$C$10000)*1,ISNUMBER(SEARCH("T_C*hy*dsl*s3",[1]OUT_TransportEnergyCons!$A$4:$A$10000))*1,[1]OUT_TransportEnergyCons!F$4:F$10000)</f>
        <v>7.1363541643513598E-5</v>
      </c>
      <c r="I2144" s="1" cm="1">
        <f t="array" ref="I2144">SUMPRODUCT(("var_ncap"=[1]OUT_TransportEnergyCons!$B$4:$B$10000)*1,("-"=[1]OUT_TransportEnergyCons!$C$4:$C$10000)*1,ISNUMBER(SEARCH("T_C*hy*dsl*s3",[1]OUT_TransportEnergyCons!$A$4:$A$10000))*1,[1]OUT_TransportEnergyCons!G$4:G$10000)</f>
        <v>2.0243155578871118E-4</v>
      </c>
      <c r="J2144" s="1" cm="1">
        <f t="array" ref="J2144">SUMPRODUCT(("var_ncap"=[1]OUT_TransportEnergyCons!$B$4:$B$10000)*1,("-"=[1]OUT_TransportEnergyCons!$C$4:$C$10000)*1,ISNUMBER(SEARCH("T_C*hy*dsl*s3",[1]OUT_TransportEnergyCons!$A$4:$A$10000))*1,[1]OUT_TransportEnergyCons!H$4:H$10000)</f>
        <v>4.5426542555895365E-2</v>
      </c>
      <c r="K2144" s="1" cm="1">
        <f t="array" ref="K2144">SUMPRODUCT(("var_ncap"=[1]OUT_TransportEnergyCons!$B$4:$B$10000)*1,("-"=[1]OUT_TransportEnergyCons!$C$4:$C$10000)*1,ISNUMBER(SEARCH("T_C*hy*dsl*s3",[1]OUT_TransportEnergyCons!$A$4:$A$10000))*1,[1]OUT_TransportEnergyCons!I$4:I$10000)</f>
        <v>7.3081816543030018E-2</v>
      </c>
    </row>
    <row r="2145" spans="2:11" x14ac:dyDescent="0.35">
      <c r="B2145" s="5" t="str">
        <f t="shared" si="1308"/>
        <v>SPS4</v>
      </c>
      <c r="C2145" s="5" t="str">
        <f t="shared" si="1303"/>
        <v>CH</v>
      </c>
      <c r="D2145" t="s">
        <v>2296</v>
      </c>
      <c r="E2145" t="str">
        <f t="shared" si="1309"/>
        <v>Million</v>
      </c>
      <c r="F2145" s="1" cm="1">
        <f t="array" ref="F2145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SUMPRODUCT(("var_ncap"=[1]OUT_TransportEnergyCons!$B$4:$B$10000)*1,("-"=[1]OUT_TransportEnergyCons!$C$4:$C$10000)*1,ISNUMBER(SEARCH("T_C*hy*dsl*s4",[1]OUT_TransportEnergyCons!$A$4:$A$10000))*1,[1]OUT_TransportEnergyCons!E$4:E$10000)</f>
        <v>9.9285636420485507E-5</v>
      </c>
      <c r="H2145" s="1" cm="1">
        <f t="array" ref="H2145">SUMPRODUCT(("var_ncap"=[1]OUT_TransportEnergyCons!$B$4:$B$10000)*1,("-"=[1]OUT_TransportEnergyCons!$C$4:$C$10000)*1,ISNUMBER(SEARCH("T_C*hy*dsl*s4",[1]OUT_TransportEnergyCons!$A$4:$A$10000))*1,[1]OUT_TransportEnergyCons!F$4:F$10000)</f>
        <v>4.9418729761325601E-5</v>
      </c>
      <c r="I2145" s="1" cm="1">
        <f t="array" ref="I2145">SUMPRODUCT(("var_ncap"=[1]OUT_TransportEnergyCons!$B$4:$B$10000)*1,("-"=[1]OUT_TransportEnergyCons!$C$4:$C$10000)*1,ISNUMBER(SEARCH("T_C*hy*dsl*s4",[1]OUT_TransportEnergyCons!$A$4:$A$10000))*1,[1]OUT_TransportEnergyCons!G$4:G$10000)</f>
        <v>4.4285241405056996E-5</v>
      </c>
      <c r="J2145" s="1" cm="1">
        <f t="array" ref="J2145">SUMPRODUCT(("var_ncap"=[1]OUT_TransportEnergyCons!$B$4:$B$10000)*1,("-"=[1]OUT_TransportEnergyCons!$C$4:$C$10000)*1,ISNUMBER(SEARCH("T_C*hy*dsl*s4",[1]OUT_TransportEnergyCons!$A$4:$A$10000))*1,[1]OUT_TransportEnergyCons!H$4:H$10000)</f>
        <v>7.2374542597323106E-5</v>
      </c>
      <c r="K2145" s="1" cm="1">
        <f t="array" ref="K2145">SUMPRODUCT(("var_ncap"=[1]OUT_TransportEnergyCons!$B$4:$B$10000)*1,("-"=[1]OUT_TransportEnergyCons!$C$4:$C$10000)*1,ISNUMBER(SEARCH("T_C*hy*dsl*s4",[1]OUT_TransportEnergyCons!$A$4:$A$10000))*1,[1]OUT_TransportEnergyCons!I$4:I$10000)</f>
        <v>1.6269482849950832E-4</v>
      </c>
    </row>
    <row r="2146" spans="2:11" x14ac:dyDescent="0.35">
      <c r="B2146" s="5" t="str">
        <f t="shared" si="1308"/>
        <v>SPS4</v>
      </c>
      <c r="C2146" s="5" t="str">
        <f t="shared" si="1303"/>
        <v>CH</v>
      </c>
      <c r="D2146" t="s">
        <v>2297</v>
      </c>
      <c r="E2146" t="str">
        <f t="shared" si="1309"/>
        <v>Million</v>
      </c>
      <c r="F2146" s="1" cm="1">
        <f t="array" ref="F2146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46" s="1" cm="1">
        <f t="array" ref="J2146">SUMPRODUCT(("var_ncap"=[1]OUT_TransportEnergyCons!$B$4:$B$10000)*1,("-"=[1]OUT_TransportEnergyCons!$C$4:$C$10000)*1,ISNUMBER(SEARCH("T_C*ICE*dsl*ext",[1]OUT_TransportEnergyCons!$A$4:$A$10000))*1,[1]OUT_TransportEnergyCons!H$4:H$10000)</f>
        <v>0</v>
      </c>
      <c r="K2146" s="1" cm="1">
        <f t="array" ref="K2146">SUMPRODUCT(("var_ncap"=[1]OUT_TransportEnergyCons!$B$4:$B$10000)*1,("-"=[1]OUT_TransportEnergyCons!$C$4:$C$10000)*1,ISNUMBER(SEARCH("T_C*ICE*dsl*ext",[1]OUT_TransportEnergyCons!$A$4:$A$10000))*1,[1]OUT_TransportEnergyCons!I$4:I$10000)</f>
        <v>0</v>
      </c>
    </row>
    <row r="2147" spans="2:11" x14ac:dyDescent="0.35">
      <c r="B2147" s="5" t="str">
        <f t="shared" si="1308"/>
        <v>SPS4</v>
      </c>
      <c r="C2147" s="5" t="str">
        <f t="shared" si="1303"/>
        <v>CH</v>
      </c>
      <c r="D2147" t="s">
        <v>2298</v>
      </c>
      <c r="E2147" t="str">
        <f t="shared" si="1309"/>
        <v>Million</v>
      </c>
      <c r="F2147" s="1" cm="1">
        <f t="array" ref="F2147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SUMPRODUCT(("var_ncap"=[1]OUT_TransportEnergyCons!$B$4:$B$10000)*1,("-"=[1]OUT_TransportEnergyCons!$C$4:$C$10000)*1,ISNUMBER(SEARCH("T_C*ICE*dsl*s1",[1]OUT_TransportEnergyCons!$A$4:$A$10000))*1,[1]OUT_TransportEnergyCons!E$4:E$10000)</f>
        <v>2.9492275597972501E-5</v>
      </c>
      <c r="H2147" s="1" cm="1">
        <f t="array" ref="H2147">SUMPRODUCT(("var_ncap"=[1]OUT_TransportEnergyCons!$B$4:$B$10000)*1,("-"=[1]OUT_TransportEnergyCons!$C$4:$C$10000)*1,ISNUMBER(SEARCH("T_C*ICE*dsl*s1",[1]OUT_TransportEnergyCons!$A$4:$A$10000))*1,[1]OUT_TransportEnergyCons!F$4:F$10000)</f>
        <v>6.9421349848958205E-5</v>
      </c>
      <c r="I2147" s="1" cm="1">
        <f t="array" ref="I2147">SUMPRODUCT(("var_ncap"=[1]OUT_TransportEnergyCons!$B$4:$B$10000)*1,("-"=[1]OUT_TransportEnergyCons!$C$4:$C$10000)*1,ISNUMBER(SEARCH("T_C*ICE*dsl*s1",[1]OUT_TransportEnergyCons!$A$4:$A$10000))*1,[1]OUT_TransportEnergyCons!G$4:G$10000)</f>
        <v>2.91656775750775E-5</v>
      </c>
      <c r="J2147" s="1" cm="1">
        <f t="array" ref="J2147">SUMPRODUCT(("var_ncap"=[1]OUT_TransportEnergyCons!$B$4:$B$10000)*1,("-"=[1]OUT_TransportEnergyCons!$C$4:$C$10000)*1,ISNUMBER(SEARCH("T_C*ICE*dsl*s1",[1]OUT_TransportEnergyCons!$A$4:$A$10000))*1,[1]OUT_TransportEnergyCons!H$4:H$10000)</f>
        <v>1.820212196591E-5</v>
      </c>
      <c r="K2147" s="1" cm="1">
        <f t="array" ref="K2147">SUMPRODUCT(("var_ncap"=[1]OUT_TransportEnergyCons!$B$4:$B$10000)*1,("-"=[1]OUT_TransportEnergyCons!$C$4:$C$10000)*1,ISNUMBER(SEARCH("T_C*ICE*dsl*s1",[1]OUT_TransportEnergyCons!$A$4:$A$10000))*1,[1]OUT_TransportEnergyCons!I$4:I$10000)</f>
        <v>7.1681441011537897E-6</v>
      </c>
    </row>
    <row r="2148" spans="2:11" x14ac:dyDescent="0.35">
      <c r="B2148" s="5" t="str">
        <f t="shared" si="1308"/>
        <v>SPS4</v>
      </c>
      <c r="C2148" s="5" t="str">
        <f t="shared" si="1303"/>
        <v>CH</v>
      </c>
      <c r="D2148" t="s">
        <v>2299</v>
      </c>
      <c r="E2148" t="str">
        <f t="shared" si="1309"/>
        <v>Million</v>
      </c>
      <c r="F2148" s="1" cm="1">
        <f t="array" ref="F2148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SUMPRODUCT(("var_ncap"=[1]OUT_TransportEnergyCons!$B$4:$B$10000)*1,("-"=[1]OUT_TransportEnergyCons!$C$4:$C$10000)*1,ISNUMBER(SEARCH("T_C*ICE*dsl*s2",[1]OUT_TransportEnergyCons!$A$4:$A$10000))*1,[1]OUT_TransportEnergyCons!E$4:E$10000)</f>
        <v>1.6643292418948999E-5</v>
      </c>
      <c r="H2148" s="1" cm="1">
        <f t="array" ref="H2148">SUMPRODUCT(("var_ncap"=[1]OUT_TransportEnergyCons!$B$4:$B$10000)*1,("-"=[1]OUT_TransportEnergyCons!$C$4:$C$10000)*1,ISNUMBER(SEARCH("T_C*ICE*dsl*s2",[1]OUT_TransportEnergyCons!$A$4:$A$10000))*1,[1]OUT_TransportEnergyCons!F$4:F$10000)</f>
        <v>4.3888820175450299E-5</v>
      </c>
      <c r="I2148" s="1" cm="1">
        <f t="array" ref="I2148">SUMPRODUCT(("var_ncap"=[1]OUT_TransportEnergyCons!$B$4:$B$10000)*1,("-"=[1]OUT_TransportEnergyCons!$C$4:$C$10000)*1,ISNUMBER(SEARCH("T_C*ICE*dsl*s2",[1]OUT_TransportEnergyCons!$A$4:$A$10000))*1,[1]OUT_TransportEnergyCons!G$4:G$10000)</f>
        <v>2.8577248926355902E-5</v>
      </c>
      <c r="J2148" s="1" cm="1">
        <f t="array" ref="J2148">SUMPRODUCT(("var_ncap"=[1]OUT_TransportEnergyCons!$B$4:$B$10000)*1,("-"=[1]OUT_TransportEnergyCons!$C$4:$C$10000)*1,ISNUMBER(SEARCH("T_C*ICE*dsl*s2",[1]OUT_TransportEnergyCons!$A$4:$A$10000))*1,[1]OUT_TransportEnergyCons!H$4:H$10000)</f>
        <v>1.5574678389297002E-5</v>
      </c>
      <c r="K2148" s="1" cm="1">
        <f t="array" ref="K2148">SUMPRODUCT(("var_ncap"=[1]OUT_TransportEnergyCons!$B$4:$B$10000)*1,("-"=[1]OUT_TransportEnergyCons!$C$4:$C$10000)*1,ISNUMBER(SEARCH("T_C*ICE*dsl*s2",[1]OUT_TransportEnergyCons!$A$4:$A$10000))*1,[1]OUT_TransportEnergyCons!I$4:I$10000)</f>
        <v>7.0955510066481299E-6</v>
      </c>
    </row>
    <row r="2149" spans="2:11" x14ac:dyDescent="0.35">
      <c r="B2149" s="5" t="str">
        <f t="shared" si="1308"/>
        <v>SPS4</v>
      </c>
      <c r="C2149" s="5" t="str">
        <f t="shared" si="1303"/>
        <v>CH</v>
      </c>
      <c r="D2149" t="s">
        <v>2300</v>
      </c>
      <c r="E2149" t="str">
        <f t="shared" si="1309"/>
        <v>Million</v>
      </c>
      <c r="F2149" s="1" cm="1">
        <f t="array" ref="F2149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SUMPRODUCT(("var_ncap"=[1]OUT_TransportEnergyCons!$B$4:$B$10000)*1,("-"=[1]OUT_TransportEnergyCons!$C$4:$C$10000)*1,ISNUMBER(SEARCH("T_C*ICE*dsl*s3",[1]OUT_TransportEnergyCons!$A$4:$A$10000))*1,[1]OUT_TransportEnergyCons!E$4:E$10000)</f>
        <v>1.6749464902653099E-5</v>
      </c>
      <c r="H2149" s="1" cm="1">
        <f t="array" ref="H2149">SUMPRODUCT(("var_ncap"=[1]OUT_TransportEnergyCons!$B$4:$B$10000)*1,("-"=[1]OUT_TransportEnergyCons!$C$4:$C$10000)*1,ISNUMBER(SEARCH("T_C*ICE*dsl*s3",[1]OUT_TransportEnergyCons!$A$4:$A$10000))*1,[1]OUT_TransportEnergyCons!F$4:F$10000)</f>
        <v>2.87306367742198E-5</v>
      </c>
      <c r="I2149" s="1" cm="1">
        <f t="array" ref="I2149">SUMPRODUCT(("var_ncap"=[1]OUT_TransportEnergyCons!$B$4:$B$10000)*1,("-"=[1]OUT_TransportEnergyCons!$C$4:$C$10000)*1,ISNUMBER(SEARCH("T_C*ICE*dsl*s3",[1]OUT_TransportEnergyCons!$A$4:$A$10000))*1,[1]OUT_TransportEnergyCons!G$4:G$10000)</f>
        <v>2.1494808444835302E-5</v>
      </c>
      <c r="J2149" s="1" cm="1">
        <f t="array" ref="J2149">SUMPRODUCT(("var_ncap"=[1]OUT_TransportEnergyCons!$B$4:$B$10000)*1,("-"=[1]OUT_TransportEnergyCons!$C$4:$C$10000)*1,ISNUMBER(SEARCH("T_C*ICE*dsl*s3",[1]OUT_TransportEnergyCons!$A$4:$A$10000))*1,[1]OUT_TransportEnergyCons!H$4:H$10000)</f>
        <v>1.51948975247941E-5</v>
      </c>
      <c r="K2149" s="1" cm="1">
        <f t="array" ref="K2149">SUMPRODUCT(("var_ncap"=[1]OUT_TransportEnergyCons!$B$4:$B$10000)*1,("-"=[1]OUT_TransportEnergyCons!$C$4:$C$10000)*1,ISNUMBER(SEARCH("T_C*ICE*dsl*s3",[1]OUT_TransportEnergyCons!$A$4:$A$10000))*1,[1]OUT_TransportEnergyCons!I$4:I$10000)</f>
        <v>8.5214896980300698E-6</v>
      </c>
    </row>
    <row r="2150" spans="2:11" x14ac:dyDescent="0.35">
      <c r="B2150" s="5" t="str">
        <f t="shared" si="1308"/>
        <v>SPS4</v>
      </c>
      <c r="C2150" s="5" t="str">
        <f t="shared" si="1303"/>
        <v>CH</v>
      </c>
      <c r="D2150" t="s">
        <v>2301</v>
      </c>
      <c r="E2150" t="str">
        <f t="shared" si="1309"/>
        <v>Million</v>
      </c>
      <c r="F2150" s="1" cm="1">
        <f t="array" ref="F2150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SUMPRODUCT(("var_ncap"=[1]OUT_TransportEnergyCons!$B$4:$B$10000)*1,("-"=[1]OUT_TransportEnergyCons!$C$4:$C$10000)*1,ISNUMBER(SEARCH("T_C*ICE*dsl*s4",[1]OUT_TransportEnergyCons!$A$4:$A$10000))*1,[1]OUT_TransportEnergyCons!E$4:E$10000)</f>
        <v>6.68645199558563E-6</v>
      </c>
      <c r="H2150" s="1" cm="1">
        <f t="array" ref="H2150">SUMPRODUCT(("var_ncap"=[1]OUT_TransportEnergyCons!$B$4:$B$10000)*1,("-"=[1]OUT_TransportEnergyCons!$C$4:$C$10000)*1,ISNUMBER(SEARCH("T_C*ICE*dsl*s4",[1]OUT_TransportEnergyCons!$A$4:$A$10000))*1,[1]OUT_TransportEnergyCons!F$4:F$10000)</f>
        <v>1.34502605482123E-5</v>
      </c>
      <c r="I2150" s="1" cm="1">
        <f t="array" ref="I2150">SUMPRODUCT(("var_ncap"=[1]OUT_TransportEnergyCons!$B$4:$B$10000)*1,("-"=[1]OUT_TransportEnergyCons!$C$4:$C$10000)*1,ISNUMBER(SEARCH("T_C*ICE*dsl*s4",[1]OUT_TransportEnergyCons!$A$4:$A$10000))*1,[1]OUT_TransportEnergyCons!G$4:G$10000)</f>
        <v>1.25934773756756E-5</v>
      </c>
      <c r="J2150" s="1" cm="1">
        <f t="array" ref="J2150">SUMPRODUCT(("var_ncap"=[1]OUT_TransportEnergyCons!$B$4:$B$10000)*1,("-"=[1]OUT_TransportEnergyCons!$C$4:$C$10000)*1,ISNUMBER(SEARCH("T_C*ICE*dsl*s4",[1]OUT_TransportEnergyCons!$A$4:$A$10000))*1,[1]OUT_TransportEnergyCons!H$4:H$10000)</f>
        <v>1.12096506061899E-5</v>
      </c>
      <c r="K2150" s="1" cm="1">
        <f t="array" ref="K2150">SUMPRODUCT(("var_ncap"=[1]OUT_TransportEnergyCons!$B$4:$B$10000)*1,("-"=[1]OUT_TransportEnergyCons!$C$4:$C$10000)*1,ISNUMBER(SEARCH("T_C*ICE*dsl*s4",[1]OUT_TransportEnergyCons!$A$4:$A$10000))*1,[1]OUT_TransportEnergyCons!I$4:I$10000)</f>
        <v>7.00346900778019E-6</v>
      </c>
    </row>
    <row r="2151" spans="2:11" x14ac:dyDescent="0.35">
      <c r="B2151" s="5" t="str">
        <f t="shared" si="1308"/>
        <v>SPS4</v>
      </c>
      <c r="C2151" s="5" t="str">
        <f t="shared" si="1303"/>
        <v>CH</v>
      </c>
      <c r="D2151" t="s">
        <v>2302</v>
      </c>
      <c r="E2151" t="str">
        <f t="shared" si="1309"/>
        <v>Million</v>
      </c>
      <c r="F2151" s="1" cm="1">
        <f t="array" ref="F2151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SUMPRODUCT(("var_ncap"=[1]OUT_TransportEnergyCons!$B$4:$B$10000)*1,("-"=[1]OUT_TransportEnergyCons!$C$4:$C$10000)*1,ISNUMBER(SEARCH("T_C*mhy*dsl*s1",[1]OUT_TransportEnergyCons!$A$4:$A$10000))*1,[1]OUT_TransportEnergyCons!E$4:E$10000)</f>
        <v>2.6692611516077699E-5</v>
      </c>
      <c r="H2151" s="1" cm="1">
        <f t="array" ref="H2151">SUMPRODUCT(("var_ncap"=[1]OUT_TransportEnergyCons!$B$4:$B$10000)*1,("-"=[1]OUT_TransportEnergyCons!$C$4:$C$10000)*1,ISNUMBER(SEARCH("T_C*mhy*dsl*s1",[1]OUT_TransportEnergyCons!$A$4:$A$10000))*1,[1]OUT_TransportEnergyCons!F$4:F$10000)</f>
        <v>1.2724999447248799E-2</v>
      </c>
      <c r="I2151" s="1" cm="1">
        <f t="array" ref="I2151">SUMPRODUCT(("var_ncap"=[1]OUT_TransportEnergyCons!$B$4:$B$10000)*1,("-"=[1]OUT_TransportEnergyCons!$C$4:$C$10000)*1,ISNUMBER(SEARCH("T_C*mhy*dsl*s1",[1]OUT_TransportEnergyCons!$A$4:$A$10000))*1,[1]OUT_TransportEnergyCons!G$4:G$10000)</f>
        <v>0.14751304604137899</v>
      </c>
      <c r="J2151" s="1" cm="1">
        <f t="array" ref="J2151">SUMPRODUCT(("var_ncap"=[1]OUT_TransportEnergyCons!$B$4:$B$10000)*1,("-"=[1]OUT_TransportEnergyCons!$C$4:$C$10000)*1,ISNUMBER(SEARCH("T_C*mhy*dsl*s1",[1]OUT_TransportEnergyCons!$A$4:$A$10000))*1,[1]OUT_TransportEnergyCons!H$4:H$10000)</f>
        <v>1.7259207284540801E-4</v>
      </c>
      <c r="K2151" s="1" cm="1">
        <f t="array" ref="K2151">SUMPRODUCT(("var_ncap"=[1]OUT_TransportEnergyCons!$B$4:$B$10000)*1,("-"=[1]OUT_TransportEnergyCons!$C$4:$C$10000)*1,ISNUMBER(SEARCH("T_C*mhy*dsl*s1",[1]OUT_TransportEnergyCons!$A$4:$A$10000))*1,[1]OUT_TransportEnergyCons!I$4:I$10000)</f>
        <v>1.8240235244795301E-5</v>
      </c>
    </row>
    <row r="2152" spans="2:11" x14ac:dyDescent="0.35">
      <c r="B2152" s="5" t="str">
        <f t="shared" si="1308"/>
        <v>SPS4</v>
      </c>
      <c r="C2152" s="5" t="str">
        <f t="shared" si="1303"/>
        <v>CH</v>
      </c>
      <c r="D2152" t="s">
        <v>2303</v>
      </c>
      <c r="E2152" t="str">
        <f t="shared" si="1309"/>
        <v>Million</v>
      </c>
      <c r="F2152" s="1" cm="1">
        <f t="array" ref="F2152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SUMPRODUCT(("var_ncap"=[1]OUT_TransportEnergyCons!$B$4:$B$10000)*1,("-"=[1]OUT_TransportEnergyCons!$C$4:$C$10000)*1,ISNUMBER(SEARCH("T_C*mhy*dsl*s2",[1]OUT_TransportEnergyCons!$A$4:$A$10000))*1,[1]OUT_TransportEnergyCons!E$4:E$10000)</f>
        <v>1.0764650524949599E-5</v>
      </c>
      <c r="H2152" s="1" cm="1">
        <f t="array" ref="H2152">SUMPRODUCT(("var_ncap"=[1]OUT_TransportEnergyCons!$B$4:$B$10000)*1,("-"=[1]OUT_TransportEnergyCons!$C$4:$C$10000)*1,ISNUMBER(SEARCH("T_C*mhy*dsl*s2",[1]OUT_TransportEnergyCons!$A$4:$A$10000))*1,[1]OUT_TransportEnergyCons!F$4:F$10000)</f>
        <v>6.7344764646285604E-5</v>
      </c>
      <c r="I2152" s="1" cm="1">
        <f t="array" ref="I2152">SUMPRODUCT(("var_ncap"=[1]OUT_TransportEnergyCons!$B$4:$B$10000)*1,("-"=[1]OUT_TransportEnergyCons!$C$4:$C$10000)*1,ISNUMBER(SEARCH("T_C*mhy*dsl*s2",[1]OUT_TransportEnergyCons!$A$4:$A$10000))*1,[1]OUT_TransportEnergyCons!G$4:G$10000)</f>
        <v>8.1571439222233397E-3</v>
      </c>
      <c r="J2152" s="1" cm="1">
        <f t="array" ref="J2152">SUMPRODUCT(("var_ncap"=[1]OUT_TransportEnergyCons!$B$4:$B$10000)*1,("-"=[1]OUT_TransportEnergyCons!$C$4:$C$10000)*1,ISNUMBER(SEARCH("T_C*mhy*dsl*s2",[1]OUT_TransportEnergyCons!$A$4:$A$10000))*1,[1]OUT_TransportEnergyCons!H$4:H$10000)</f>
        <v>7.8783796819590799E-5</v>
      </c>
      <c r="K2152" s="1" cm="1">
        <f t="array" ref="K2152">SUMPRODUCT(("var_ncap"=[1]OUT_TransportEnergyCons!$B$4:$B$10000)*1,("-"=[1]OUT_TransportEnergyCons!$C$4:$C$10000)*1,ISNUMBER(SEARCH("T_C*mhy*dsl*s2",[1]OUT_TransportEnergyCons!$A$4:$A$10000))*1,[1]OUT_TransportEnergyCons!I$4:I$10000)</f>
        <v>2.30352854336015E-5</v>
      </c>
    </row>
    <row r="2153" spans="2:11" x14ac:dyDescent="0.35">
      <c r="B2153" s="5" t="str">
        <f t="shared" si="1308"/>
        <v>SPS4</v>
      </c>
      <c r="C2153" s="5" t="str">
        <f t="shared" si="1303"/>
        <v>CH</v>
      </c>
      <c r="D2153" t="s">
        <v>2304</v>
      </c>
      <c r="E2153" t="str">
        <f t="shared" si="1309"/>
        <v>Million</v>
      </c>
      <c r="F2153" s="1" cm="1">
        <f t="array" ref="F2153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SUMPRODUCT(("var_ncap"=[1]OUT_TransportEnergyCons!$B$4:$B$10000)*1,("-"=[1]OUT_TransportEnergyCons!$C$4:$C$10000)*1,ISNUMBER(SEARCH("T_C*mhy*dsl*s3",[1]OUT_TransportEnergyCons!$A$4:$A$10000))*1,[1]OUT_TransportEnergyCons!E$4:E$10000)</f>
        <v>1.2322532320974199E-5</v>
      </c>
      <c r="H2153" s="1" cm="1">
        <f t="array" ref="H2153">SUMPRODUCT(("var_ncap"=[1]OUT_TransportEnergyCons!$B$4:$B$10000)*1,("-"=[1]OUT_TransportEnergyCons!$C$4:$C$10000)*1,ISNUMBER(SEARCH("T_C*mhy*dsl*s3",[1]OUT_TransportEnergyCons!$A$4:$A$10000))*1,[1]OUT_TransportEnergyCons!F$4:F$10000)</f>
        <v>4.5134996574777601E-5</v>
      </c>
      <c r="I2153" s="1" cm="1">
        <f t="array" ref="I2153">SUMPRODUCT(("var_ncap"=[1]OUT_TransportEnergyCons!$B$4:$B$10000)*1,("-"=[1]OUT_TransportEnergyCons!$C$4:$C$10000)*1,ISNUMBER(SEARCH("T_C*mhy*dsl*s3",[1]OUT_TransportEnergyCons!$A$4:$A$10000))*1,[1]OUT_TransportEnergyCons!G$4:G$10000)</f>
        <v>1.8576405039656799E-4</v>
      </c>
      <c r="J2153" s="1" cm="1">
        <f t="array" ref="J2153">SUMPRODUCT(("var_ncap"=[1]OUT_TransportEnergyCons!$B$4:$B$10000)*1,("-"=[1]OUT_TransportEnergyCons!$C$4:$C$10000)*1,ISNUMBER(SEARCH("T_C*mhy*dsl*s3",[1]OUT_TransportEnergyCons!$A$4:$A$10000))*1,[1]OUT_TransportEnergyCons!H$4:H$10000)</f>
        <v>4.5404053156130497E-2</v>
      </c>
      <c r="K2153" s="1" cm="1">
        <f t="array" ref="K2153">SUMPRODUCT(("var_ncap"=[1]OUT_TransportEnergyCons!$B$4:$B$10000)*1,("-"=[1]OUT_TransportEnergyCons!$C$4:$C$10000)*1,ISNUMBER(SEARCH("T_C*mhy*dsl*s3",[1]OUT_TransportEnergyCons!$A$4:$A$10000))*1,[1]OUT_TransportEnergyCons!I$4:I$10000)</f>
        <v>7.3059890608852998E-2</v>
      </c>
    </row>
    <row r="2154" spans="2:11" x14ac:dyDescent="0.35">
      <c r="B2154" s="5" t="str">
        <f t="shared" si="1308"/>
        <v>SPS4</v>
      </c>
      <c r="C2154" s="5" t="str">
        <f t="shared" si="1303"/>
        <v>CH</v>
      </c>
      <c r="D2154" t="s">
        <v>2305</v>
      </c>
      <c r="E2154" t="str">
        <f t="shared" si="1309"/>
        <v>Million</v>
      </c>
      <c r="F2154" s="1" cm="1">
        <f t="array" ref="F2154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SUMPRODUCT(("var_ncap"=[1]OUT_TransportEnergyCons!$B$4:$B$10000)*1,("-"=[1]OUT_TransportEnergyCons!$C$4:$C$10000)*1,ISNUMBER(SEARCH("T_C*mhy*dsl*s4",[1]OUT_TransportEnergyCons!$A$4:$A$10000))*1,[1]OUT_TransportEnergyCons!E$4:E$10000)</f>
        <v>8.9217006113807102E-6</v>
      </c>
      <c r="H2154" s="1" cm="1">
        <f t="array" ref="H2154">SUMPRODUCT(("var_ncap"=[1]OUT_TransportEnergyCons!$B$4:$B$10000)*1,("-"=[1]OUT_TransportEnergyCons!$C$4:$C$10000)*1,ISNUMBER(SEARCH("T_C*mhy*dsl*s4",[1]OUT_TransportEnergyCons!$A$4:$A$10000))*1,[1]OUT_TransportEnergyCons!F$4:F$10000)</f>
        <v>1.9614304605374201E-5</v>
      </c>
      <c r="I2154" s="1" cm="1">
        <f t="array" ref="I2154">SUMPRODUCT(("var_ncap"=[1]OUT_TransportEnergyCons!$B$4:$B$10000)*1,("-"=[1]OUT_TransportEnergyCons!$C$4:$C$10000)*1,ISNUMBER(SEARCH("T_C*mhy*dsl*s4",[1]OUT_TransportEnergyCons!$A$4:$A$10000))*1,[1]OUT_TransportEnergyCons!G$4:G$10000)</f>
        <v>2.46122344291187E-5</v>
      </c>
      <c r="J2154" s="1" cm="1">
        <f t="array" ref="J2154">SUMPRODUCT(("var_ncap"=[1]OUT_TransportEnergyCons!$B$4:$B$10000)*1,("-"=[1]OUT_TransportEnergyCons!$C$4:$C$10000)*1,ISNUMBER(SEARCH("T_C*mhy*dsl*s4",[1]OUT_TransportEnergyCons!$A$4:$A$10000))*1,[1]OUT_TransportEnergyCons!H$4:H$10000)</f>
        <v>3.1485716527944197E-5</v>
      </c>
      <c r="K2154" s="1" cm="1">
        <f t="array" ref="K2154">SUMPRODUCT(("var_ncap"=[1]OUT_TransportEnergyCons!$B$4:$B$10000)*1,("-"=[1]OUT_TransportEnergyCons!$C$4:$C$10000)*1,ISNUMBER(SEARCH("T_C*mhy*dsl*s4",[1]OUT_TransportEnergyCons!$A$4:$A$10000))*1,[1]OUT_TransportEnergyCons!I$4:I$10000)</f>
        <v>2.5306440077966301E-5</v>
      </c>
    </row>
    <row r="2155" spans="2:11" x14ac:dyDescent="0.35">
      <c r="B2155" s="5" t="str">
        <f t="shared" si="1308"/>
        <v>SPS4</v>
      </c>
      <c r="C2155" s="5" t="str">
        <f t="shared" si="1303"/>
        <v>CH</v>
      </c>
      <c r="D2155" t="s">
        <v>2306</v>
      </c>
      <c r="E2155" t="str">
        <f t="shared" si="1309"/>
        <v>Million</v>
      </c>
      <c r="F2155" s="1" cm="1">
        <f t="array" ref="F2155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55" s="1" cm="1">
        <f t="array" ref="H2155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55" s="1" cm="1">
        <f t="array" ref="I2155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55" s="1" cm="1">
        <f t="array" ref="J2155">SUMPRODUCT(("var_ncap"=[1]OUT_TransportEnergyCons!$B$4:$B$10000)*1,("-"=[1]OUT_TransportEnergyCons!$C$4:$C$10000)*1,ISNUMBER(SEARCH("T_C*ICE*nga*ext",[1]OUT_TransportEnergyCons!$A$4:$A$10000))*1,[1]OUT_TransportEnergyCons!H$4:H$10000)</f>
        <v>0</v>
      </c>
      <c r="K2155" s="1" cm="1">
        <f t="array" ref="K2155">SUMPRODUCT(("var_ncap"=[1]OUT_TransportEnergyCons!$B$4:$B$10000)*1,("-"=[1]OUT_TransportEnergyCons!$C$4:$C$10000)*1,ISNUMBER(SEARCH("T_C*ICE*nga*ext",[1]OUT_TransportEnergyCons!$A$4:$A$10000))*1,[1]OUT_TransportEnergyCons!I$4:I$10000)</f>
        <v>0</v>
      </c>
    </row>
    <row r="2156" spans="2:11" x14ac:dyDescent="0.35">
      <c r="B2156" s="5" t="str">
        <f t="shared" si="1308"/>
        <v>SPS4</v>
      </c>
      <c r="C2156" s="5" t="str">
        <f t="shared" si="1303"/>
        <v>CH</v>
      </c>
      <c r="D2156" t="s">
        <v>2307</v>
      </c>
      <c r="E2156" t="str">
        <f t="shared" si="1309"/>
        <v>Million</v>
      </c>
      <c r="F2156" s="1" cm="1">
        <f t="array" ref="F2156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SUMPRODUCT(("var_ncap"=[1]OUT_TransportEnergyCons!$B$4:$B$10000)*1,("-"=[1]OUT_TransportEnergyCons!$C$4:$C$10000)*1,ISNUMBER(SEARCH("T_C*ICE*nga*s1",[1]OUT_TransportEnergyCons!$A$4:$A$10000))*1,[1]OUT_TransportEnergyCons!E$4:E$10000)</f>
        <v>2.7402463567236101E-6</v>
      </c>
      <c r="H2156" s="1" cm="1">
        <f t="array" ref="H2156">SUMPRODUCT(("var_ncap"=[1]OUT_TransportEnergyCons!$B$4:$B$10000)*1,("-"=[1]OUT_TransportEnergyCons!$C$4:$C$10000)*1,ISNUMBER(SEARCH("T_C*ICE*nga*s1",[1]OUT_TransportEnergyCons!$A$4:$A$10000))*1,[1]OUT_TransportEnergyCons!F$4:F$10000)</f>
        <v>2.8237205823394202E-6</v>
      </c>
      <c r="I2156" s="1" cm="1">
        <f t="array" ref="I2156">SUMPRODUCT(("var_ncap"=[1]OUT_TransportEnergyCons!$B$4:$B$10000)*1,("-"=[1]OUT_TransportEnergyCons!$C$4:$C$10000)*1,ISNUMBER(SEARCH("T_C*ICE*nga*s1",[1]OUT_TransportEnergyCons!$A$4:$A$10000))*1,[1]OUT_TransportEnergyCons!G$4:G$10000)</f>
        <v>1.0565745704553201E-6</v>
      </c>
      <c r="J2156" s="1" cm="1">
        <f t="array" ref="J2156">SUMPRODUCT(("var_ncap"=[1]OUT_TransportEnergyCons!$B$4:$B$10000)*1,("-"=[1]OUT_TransportEnergyCons!$C$4:$C$10000)*1,ISNUMBER(SEARCH("T_C*ICE*nga*s1",[1]OUT_TransportEnergyCons!$A$4:$A$10000))*1,[1]OUT_TransportEnergyCons!H$4:H$10000)</f>
        <v>2.5449593644121698E-6</v>
      </c>
      <c r="K2156" s="1" cm="1">
        <f t="array" ref="K2156">SUMPRODUCT(("var_ncap"=[1]OUT_TransportEnergyCons!$B$4:$B$10000)*1,("-"=[1]OUT_TransportEnergyCons!$C$4:$C$10000)*1,ISNUMBER(SEARCH("T_C*ICE*nga*s1",[1]OUT_TransportEnergyCons!$A$4:$A$10000))*1,[1]OUT_TransportEnergyCons!I$4:I$10000)</f>
        <v>1.9946029923287201E-6</v>
      </c>
    </row>
    <row r="2157" spans="2:11" x14ac:dyDescent="0.35">
      <c r="B2157" s="5" t="str">
        <f t="shared" si="1308"/>
        <v>SPS4</v>
      </c>
      <c r="C2157" s="5" t="str">
        <f t="shared" ref="C2157:C2220" si="1310">C2156</f>
        <v>CH</v>
      </c>
      <c r="D2157" t="s">
        <v>2308</v>
      </c>
      <c r="E2157" t="str">
        <f t="shared" si="1309"/>
        <v>Million</v>
      </c>
      <c r="F2157" s="1" cm="1">
        <f t="array" ref="F2157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SUMPRODUCT(("var_ncap"=[1]OUT_TransportEnergyCons!$B$4:$B$10000)*1,("-"=[1]OUT_TransportEnergyCons!$C$4:$C$10000)*1,ISNUMBER(SEARCH("T_C*ICE*nga*s2",[1]OUT_TransportEnergyCons!$A$4:$A$10000))*1,[1]OUT_TransportEnergyCons!E$4:E$10000)</f>
        <v>1.5645156783864401E-6</v>
      </c>
      <c r="H2157" s="1" cm="1">
        <f t="array" ref="H2157">SUMPRODUCT(("var_ncap"=[1]OUT_TransportEnergyCons!$B$4:$B$10000)*1,("-"=[1]OUT_TransportEnergyCons!$C$4:$C$10000)*1,ISNUMBER(SEARCH("T_C*ICE*nga*s2",[1]OUT_TransportEnergyCons!$A$4:$A$10000))*1,[1]OUT_TransportEnergyCons!F$4:F$10000)</f>
        <v>1.9679887058351398E-6</v>
      </c>
      <c r="I2157" s="1" cm="1">
        <f t="array" ref="I2157">SUMPRODUCT(("var_ncap"=[1]OUT_TransportEnergyCons!$B$4:$B$10000)*1,("-"=[1]OUT_TransportEnergyCons!$C$4:$C$10000)*1,ISNUMBER(SEARCH("T_C*ICE*nga*s2",[1]OUT_TransportEnergyCons!$A$4:$A$10000))*1,[1]OUT_TransportEnergyCons!G$4:G$10000)</f>
        <v>1.18000628139957E-6</v>
      </c>
      <c r="J2157" s="1" cm="1">
        <f t="array" ref="J2157">SUMPRODUCT(("var_ncap"=[1]OUT_TransportEnergyCons!$B$4:$B$10000)*1,("-"=[1]OUT_TransportEnergyCons!$C$4:$C$10000)*1,ISNUMBER(SEARCH("T_C*ICE*nga*s2",[1]OUT_TransportEnergyCons!$A$4:$A$10000))*1,[1]OUT_TransportEnergyCons!H$4:H$10000)</f>
        <v>2.8441752464125902E-6</v>
      </c>
      <c r="K2157" s="1" cm="1">
        <f t="array" ref="K2157">SUMPRODUCT(("var_ncap"=[1]OUT_TransportEnergyCons!$B$4:$B$10000)*1,("-"=[1]OUT_TransportEnergyCons!$C$4:$C$10000)*1,ISNUMBER(SEARCH("T_C*ICE*nga*s2",[1]OUT_TransportEnergyCons!$A$4:$A$10000))*1,[1]OUT_TransportEnergyCons!I$4:I$10000)</f>
        <v>2.3785025617061202E-6</v>
      </c>
    </row>
    <row r="2158" spans="2:11" x14ac:dyDescent="0.35">
      <c r="B2158" s="5" t="str">
        <f t="shared" si="1308"/>
        <v>SPS4</v>
      </c>
      <c r="C2158" s="5" t="str">
        <f t="shared" si="1310"/>
        <v>CH</v>
      </c>
      <c r="D2158" t="s">
        <v>2309</v>
      </c>
      <c r="E2158" t="str">
        <f t="shared" si="1309"/>
        <v>Million</v>
      </c>
      <c r="F2158" s="1" cm="1">
        <f t="array" ref="F2158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SUMPRODUCT(("var_ncap"=[1]OUT_TransportEnergyCons!$B$4:$B$10000)*1,("-"=[1]OUT_TransportEnergyCons!$C$4:$C$10000)*1,ISNUMBER(SEARCH("T_C*ICE*nga*s3",[1]OUT_TransportEnergyCons!$A$4:$A$10000))*1,[1]OUT_TransportEnergyCons!E$4:E$10000)</f>
        <v>1.8372777810419501E-6</v>
      </c>
      <c r="H2158" s="1" cm="1">
        <f t="array" ref="H2158">SUMPRODUCT(("var_ncap"=[1]OUT_TransportEnergyCons!$B$4:$B$10000)*1,("-"=[1]OUT_TransportEnergyCons!$C$4:$C$10000)*1,ISNUMBER(SEARCH("T_C*ICE*nga*s3",[1]OUT_TransportEnergyCons!$A$4:$A$10000))*1,[1]OUT_TransportEnergyCons!F$4:F$10000)</f>
        <v>1.9315415417763801E-6</v>
      </c>
      <c r="I2158" s="1" cm="1">
        <f t="array" ref="I2158">SUMPRODUCT(("var_ncap"=[1]OUT_TransportEnergyCons!$B$4:$B$10000)*1,("-"=[1]OUT_TransportEnergyCons!$C$4:$C$10000)*1,ISNUMBER(SEARCH("T_C*ICE*nga*s3",[1]OUT_TransportEnergyCons!$A$4:$A$10000))*1,[1]OUT_TransportEnergyCons!G$4:G$10000)</f>
        <v>1.2902050496359599E-6</v>
      </c>
      <c r="J2158" s="1" cm="1">
        <f t="array" ref="J2158">SUMPRODUCT(("var_ncap"=[1]OUT_TransportEnergyCons!$B$4:$B$10000)*1,("-"=[1]OUT_TransportEnergyCons!$C$4:$C$10000)*1,ISNUMBER(SEARCH("T_C*ICE*nga*s3",[1]OUT_TransportEnergyCons!$A$4:$A$10000))*1,[1]OUT_TransportEnergyCons!H$4:H$10000)</f>
        <v>3.8585818574156301E-6</v>
      </c>
      <c r="K2158" s="1" cm="1">
        <f t="array" ref="K2158">SUMPRODUCT(("var_ncap"=[1]OUT_TransportEnergyCons!$B$4:$B$10000)*1,("-"=[1]OUT_TransportEnergyCons!$C$4:$C$10000)*1,ISNUMBER(SEARCH("T_C*ICE*nga*s3",[1]OUT_TransportEnergyCons!$A$4:$A$10000))*1,[1]OUT_TransportEnergyCons!I$4:I$10000)</f>
        <v>5.0982092802684996E-6</v>
      </c>
    </row>
    <row r="2159" spans="2:11" x14ac:dyDescent="0.35">
      <c r="B2159" s="5" t="str">
        <f t="shared" si="1308"/>
        <v>SPS4</v>
      </c>
      <c r="C2159" s="5" t="str">
        <f t="shared" si="1310"/>
        <v>CH</v>
      </c>
      <c r="D2159" t="s">
        <v>2310</v>
      </c>
      <c r="E2159" t="str">
        <f t="shared" si="1309"/>
        <v>Million</v>
      </c>
      <c r="F2159" s="1" cm="1">
        <f t="array" ref="F2159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SUMPRODUCT(("var_ncap"=[1]OUT_TransportEnergyCons!$B$4:$B$10000)*1,("-"=[1]OUT_TransportEnergyCons!$C$4:$C$10000)*1,ISNUMBER(SEARCH("T_C*ICE*nga*s4",[1]OUT_TransportEnergyCons!$A$4:$A$10000))*1,[1]OUT_TransportEnergyCons!E$4:E$10000)</f>
        <v>1.9737270812316598E-6</v>
      </c>
      <c r="H2159" s="1" cm="1">
        <f t="array" ref="H2159">SUMPRODUCT(("var_ncap"=[1]OUT_TransportEnergyCons!$B$4:$B$10000)*1,("-"=[1]OUT_TransportEnergyCons!$C$4:$C$10000)*1,ISNUMBER(SEARCH("T_C*ICE*nga*s4",[1]OUT_TransportEnergyCons!$A$4:$A$10000))*1,[1]OUT_TransportEnergyCons!F$4:F$10000)</f>
        <v>2.11118323334803E-6</v>
      </c>
      <c r="I2159" s="1" cm="1">
        <f t="array" ref="I2159">SUMPRODUCT(("var_ncap"=[1]OUT_TransportEnergyCons!$B$4:$B$10000)*1,("-"=[1]OUT_TransportEnergyCons!$C$4:$C$10000)*1,ISNUMBER(SEARCH("T_C*ICE*nga*s4",[1]OUT_TransportEnergyCons!$A$4:$A$10000))*1,[1]OUT_TransportEnergyCons!G$4:G$10000)</f>
        <v>1.39486681093459E-6</v>
      </c>
      <c r="J2159" s="1" cm="1">
        <f t="array" ref="J2159">SUMPRODUCT(("var_ncap"=[1]OUT_TransportEnergyCons!$B$4:$B$10000)*1,("-"=[1]OUT_TransportEnergyCons!$C$4:$C$10000)*1,ISNUMBER(SEARCH("T_C*ICE*nga*s4",[1]OUT_TransportEnergyCons!$A$4:$A$10000))*1,[1]OUT_TransportEnergyCons!H$4:H$10000)</f>
        <v>4.5774603082846499E-6</v>
      </c>
      <c r="K2159" s="1" cm="1">
        <f t="array" ref="K2159">SUMPRODUCT(("var_ncap"=[1]OUT_TransportEnergyCons!$B$4:$B$10000)*1,("-"=[1]OUT_TransportEnergyCons!$C$4:$C$10000)*1,ISNUMBER(SEARCH("T_C*ICE*nga*s4",[1]OUT_TransportEnergyCons!$A$4:$A$10000))*1,[1]OUT_TransportEnergyCons!I$4:I$10000)</f>
        <v>9.8887119043118706E-6</v>
      </c>
    </row>
    <row r="2160" spans="2:11" x14ac:dyDescent="0.35">
      <c r="B2160" s="5" t="str">
        <f t="shared" si="1308"/>
        <v>SPS4</v>
      </c>
      <c r="C2160" s="5" t="str">
        <f t="shared" si="1310"/>
        <v>CH</v>
      </c>
      <c r="D2160" s="2" t="s">
        <v>2184</v>
      </c>
      <c r="E2160" s="2" t="s">
        <v>2000</v>
      </c>
      <c r="F2160" s="3">
        <f t="shared" ref="F2160:K2160" si="1311">SUM(F2161:F2183)</f>
        <v>0</v>
      </c>
      <c r="G2160" s="3">
        <f t="shared" si="1311"/>
        <v>0.73501047265403985</v>
      </c>
      <c r="H2160" s="3">
        <f t="shared" si="1311"/>
        <v>1.5547362529717119</v>
      </c>
      <c r="I2160" s="3">
        <f t="shared" si="1311"/>
        <v>5.6749081477888561</v>
      </c>
      <c r="J2160" s="3">
        <f t="shared" si="1311"/>
        <v>2.1947890971213977</v>
      </c>
      <c r="K2160" s="3">
        <f t="shared" si="1311"/>
        <v>6.476379779663719</v>
      </c>
    </row>
    <row r="2161" spans="2:11" x14ac:dyDescent="0.35">
      <c r="B2161" s="5" t="str">
        <f t="shared" si="1308"/>
        <v>SPS4</v>
      </c>
      <c r="C2161" s="5" t="str">
        <f t="shared" si="1310"/>
        <v>CH</v>
      </c>
      <c r="D2161" t="s">
        <v>2311</v>
      </c>
      <c r="E2161" t="s">
        <v>2000</v>
      </c>
      <c r="F2161" s="1" cm="1">
        <f t="array" ref="F2161">(SUMPRODUCT(("var_ncap"=[1]OUT_TransportEnergyCons!$B$4:$B$10000)*1,ISNUMBER(SEARCH("T_B_u*bev*ext",[1]OUT_TransportEnergyCons!$A$4:$A$10000))*1,[1]OUT_TransportEnergyCons!D$4:D$10000))*1000</f>
        <v>0</v>
      </c>
      <c r="G2161" s="1" cm="1">
        <f t="array" ref="G2161">(SUMPRODUCT(("var_ncap"=[1]OUT_TransportEnergyCons!$B$4:$B$10000)*1,ISNUMBER(SEARCH("T_B_u*bev*ext",[1]OUT_TransportEnergyCons!$A$4:$A$10000))*1,[1]OUT_TransportEnergyCons!E$4:E$10000))*1000</f>
        <v>0</v>
      </c>
      <c r="H2161" s="1" cm="1">
        <f t="array" ref="H2161">(SUMPRODUCT(("var_ncap"=[1]OUT_TransportEnergyCons!$B$4:$B$10000)*1,ISNUMBER(SEARCH("T_B_u*bev*ext",[1]OUT_TransportEnergyCons!$A$4:$A$10000))*1,[1]OUT_TransportEnergyCons!F$4:F$10000))*1000</f>
        <v>0</v>
      </c>
      <c r="I2161" s="1" cm="1">
        <f t="array" ref="I2161">(SUMPRODUCT(("var_ncap"=[1]OUT_TransportEnergyCons!$B$4:$B$10000)*1,ISNUMBER(SEARCH("T_B_u*bev*ext",[1]OUT_TransportEnergyCons!$A$4:$A$10000))*1,[1]OUT_TransportEnergyCons!G$4:G$10000))*1000</f>
        <v>0</v>
      </c>
      <c r="J2161" s="1" cm="1">
        <f t="array" ref="J2161">(SUMPRODUCT(("var_ncap"=[1]OUT_TransportEnergyCons!$B$4:$B$10000)*1,ISNUMBER(SEARCH("T_B_u*bev*ext",[1]OUT_TransportEnergyCons!$A$4:$A$10000))*1,[1]OUT_TransportEnergyCons!H$4:H$10000))*1000</f>
        <v>0</v>
      </c>
      <c r="K2161" s="1" cm="1">
        <f t="array" ref="K2161">(SUMPRODUCT(("var_ncap"=[1]OUT_TransportEnergyCons!$B$4:$B$10000)*1,ISNUMBER(SEARCH("T_B_u*bev*ext",[1]OUT_TransportEnergyCons!$A$4:$A$10000))*1,[1]OUT_TransportEnergyCons!I$4:I$10000))*1000</f>
        <v>0</v>
      </c>
    </row>
    <row r="2162" spans="2:11" x14ac:dyDescent="0.35">
      <c r="B2162" s="5" t="str">
        <f t="shared" si="1308"/>
        <v>SPS4</v>
      </c>
      <c r="C2162" s="5" t="str">
        <f t="shared" si="1310"/>
        <v>CH</v>
      </c>
      <c r="D2162" t="s">
        <v>2312</v>
      </c>
      <c r="E2162" t="s">
        <v>2000</v>
      </c>
      <c r="F2162" s="1" cm="1">
        <f t="array" ref="F2162">(SUMPRODUCT(("var_ncap"=[1]OUT_TransportEnergyCons!$B$4:$B$10000)*1,ISNUMBER(SEARCH("T_B_u*bev*s1",[1]OUT_TransportEnergyCons!$A$4:$A$10000))*1,[1]OUT_TransportEnergyCons!D$4:D$10000))*1000</f>
        <v>0</v>
      </c>
      <c r="G2162" s="1" cm="1">
        <f t="array" ref="G2162">(SUMPRODUCT(("var_ncap"=[1]OUT_TransportEnergyCons!$B$4:$B$10000)*1,ISNUMBER(SEARCH("T_B_u*bev*s1",[1]OUT_TransportEnergyCons!$A$4:$A$10000))*1,[1]OUT_TransportEnergyCons!E$4:E$10000))*1000</f>
        <v>5.3728049001352104E-3</v>
      </c>
      <c r="H2162" s="1" cm="1">
        <f t="array" ref="H2162">(SUMPRODUCT(("var_ncap"=[1]OUT_TransportEnergyCons!$B$4:$B$10000)*1,ISNUMBER(SEARCH("T_B_u*bev*s1",[1]OUT_TransportEnergyCons!$A$4:$A$10000))*1,[1]OUT_TransportEnergyCons!F$4:F$10000))*1000</f>
        <v>7.2953470540340999E-3</v>
      </c>
      <c r="I2162" s="1" cm="1">
        <f t="array" ref="I2162">(SUMPRODUCT(("var_ncap"=[1]OUT_TransportEnergyCons!$B$4:$B$10000)*1,ISNUMBER(SEARCH("T_B_u*bev*s1",[1]OUT_TransportEnergyCons!$A$4:$A$10000))*1,[1]OUT_TransportEnergyCons!G$4:G$10000))*1000</f>
        <v>2.5486071588865604</v>
      </c>
      <c r="J2162" s="1" cm="1">
        <f t="array" ref="J2162">(SUMPRODUCT(("var_ncap"=[1]OUT_TransportEnergyCons!$B$4:$B$10000)*1,ISNUMBER(SEARCH("T_B_u*bev*s1",[1]OUT_TransportEnergyCons!$A$4:$A$10000))*1,[1]OUT_TransportEnergyCons!H$4:H$10000))*1000</f>
        <v>0.130906240794149</v>
      </c>
      <c r="K2162" s="1" cm="1">
        <f t="array" ref="K2162">(SUMPRODUCT(("var_ncap"=[1]OUT_TransportEnergyCons!$B$4:$B$10000)*1,ISNUMBER(SEARCH("T_B_u*bev*s1",[1]OUT_TransportEnergyCons!$A$4:$A$10000))*1,[1]OUT_TransportEnergyCons!I$4:I$10000))*1000</f>
        <v>2.6479719505419799</v>
      </c>
    </row>
    <row r="2163" spans="2:11" x14ac:dyDescent="0.35">
      <c r="B2163" s="5" t="str">
        <f t="shared" si="1308"/>
        <v>SPS4</v>
      </c>
      <c r="C2163" s="5" t="str">
        <f t="shared" si="1310"/>
        <v>CH</v>
      </c>
      <c r="D2163" t="s">
        <v>2313</v>
      </c>
      <c r="E2163" t="s">
        <v>2000</v>
      </c>
      <c r="F2163" s="1" cm="1">
        <f t="array" ref="F2163">(SUMPRODUCT(("var_ncap"=[1]OUT_TransportEnergyCons!$B$4:$B$10000)*1,ISNUMBER(SEARCH("T_B_u*bev*s2",[1]OUT_TransportEnergyCons!$A$4:$A$10000))*1,[1]OUT_TransportEnergyCons!D$4:D$10000))*1000</f>
        <v>0</v>
      </c>
      <c r="G2163" s="1" cm="1">
        <f t="array" ref="G2163">(SUMPRODUCT(("var_ncap"=[1]OUT_TransportEnergyCons!$B$4:$B$10000)*1,ISNUMBER(SEARCH("T_B_u*bev*s2",[1]OUT_TransportEnergyCons!$A$4:$A$10000))*1,[1]OUT_TransportEnergyCons!E$4:E$10000))*1000</f>
        <v>1.2929048042527199E-3</v>
      </c>
      <c r="H2163" s="1" cm="1">
        <f t="array" ref="H2163">(SUMPRODUCT(("var_ncap"=[1]OUT_TransportEnergyCons!$B$4:$B$10000)*1,ISNUMBER(SEARCH("T_B_u*bev*s2",[1]OUT_TransportEnergyCons!$A$4:$A$10000))*1,[1]OUT_TransportEnergyCons!F$4:F$10000))*1000</f>
        <v>5.2309372891601305E-3</v>
      </c>
      <c r="I2163" s="1" cm="1">
        <f t="array" ref="I2163">(SUMPRODUCT(("var_ncap"=[1]OUT_TransportEnergyCons!$B$4:$B$10000)*1,ISNUMBER(SEARCH("T_B_u*bev*s2",[1]OUT_TransportEnergyCons!$A$4:$A$10000))*1,[1]OUT_TransportEnergyCons!G$4:G$10000))*1000</f>
        <v>0.73853737593231206</v>
      </c>
      <c r="J2163" s="1" cm="1">
        <f t="array" ref="J2163">(SUMPRODUCT(("var_ncap"=[1]OUT_TransportEnergyCons!$B$4:$B$10000)*1,ISNUMBER(SEARCH("T_B_u*bev*s2",[1]OUT_TransportEnergyCons!$A$4:$A$10000))*1,[1]OUT_TransportEnergyCons!H$4:H$10000))*1000</f>
        <v>0.104747540266919</v>
      </c>
      <c r="K2163" s="1" cm="1">
        <f t="array" ref="K2163">(SUMPRODUCT(("var_ncap"=[1]OUT_TransportEnergyCons!$B$4:$B$10000)*1,ISNUMBER(SEARCH("T_B_u*bev*s2",[1]OUT_TransportEnergyCons!$A$4:$A$10000))*1,[1]OUT_TransportEnergyCons!I$4:I$10000))*1000</f>
        <v>0.69264257124907103</v>
      </c>
    </row>
    <row r="2164" spans="2:11" x14ac:dyDescent="0.35">
      <c r="B2164" s="5" t="str">
        <f t="shared" si="1308"/>
        <v>SPS4</v>
      </c>
      <c r="C2164" s="5" t="str">
        <f t="shared" si="1310"/>
        <v>CH</v>
      </c>
      <c r="D2164" t="s">
        <v>2314</v>
      </c>
      <c r="E2164" t="s">
        <v>2000</v>
      </c>
      <c r="F2164" s="1" cm="1">
        <f t="array" ref="F2164">(SUMPRODUCT(("var_ncap"=[1]OUT_TransportEnergyCons!$B$4:$B$10000)*1,ISNUMBER(SEARCH("T_B_u*bev*s3",[1]OUT_TransportEnergyCons!$A$4:$A$10000))*1,[1]OUT_TransportEnergyCons!D$4:D$10000))*1000</f>
        <v>0</v>
      </c>
      <c r="G2164" s="1" cm="1">
        <f t="array" ref="G2164">(SUMPRODUCT(("var_ncap"=[1]OUT_TransportEnergyCons!$B$4:$B$10000)*1,ISNUMBER(SEARCH("T_B_u*bev*s3",[1]OUT_TransportEnergyCons!$A$4:$A$10000))*1,[1]OUT_TransportEnergyCons!E$4:E$10000))*1000</f>
        <v>7.1807173201313308E-4</v>
      </c>
      <c r="H2164" s="1" cm="1">
        <f t="array" ref="H2164">(SUMPRODUCT(("var_ncap"=[1]OUT_TransportEnergyCons!$B$4:$B$10000)*1,ISNUMBER(SEARCH("T_B_u*bev*s3",[1]OUT_TransportEnergyCons!$A$4:$A$10000))*1,[1]OUT_TransportEnergyCons!F$4:F$10000))*1000</f>
        <v>1.6530219997707401E-3</v>
      </c>
      <c r="I2164" s="1" cm="1">
        <f t="array" ref="I2164">(SUMPRODUCT(("var_ncap"=[1]OUT_TransportEnergyCons!$B$4:$B$10000)*1,ISNUMBER(SEARCH("T_B_u*bev*s3",[1]OUT_TransportEnergyCons!$A$4:$A$10000))*1,[1]OUT_TransportEnergyCons!G$4:G$10000))*1000</f>
        <v>1.70381777822078</v>
      </c>
      <c r="J2164" s="1" cm="1">
        <f t="array" ref="J2164">(SUMPRODUCT(("var_ncap"=[1]OUT_TransportEnergyCons!$B$4:$B$10000)*1,ISNUMBER(SEARCH("T_B_u*bev*s3",[1]OUT_TransportEnergyCons!$A$4:$A$10000))*1,[1]OUT_TransportEnergyCons!H$4:H$10000))*1000</f>
        <v>1.14312105505907</v>
      </c>
      <c r="K2164" s="1" cm="1">
        <f t="array" ref="K2164">(SUMPRODUCT(("var_ncap"=[1]OUT_TransportEnergyCons!$B$4:$B$10000)*1,ISNUMBER(SEARCH("T_B_u*bev*s3",[1]OUT_TransportEnergyCons!$A$4:$A$10000))*1,[1]OUT_TransportEnergyCons!I$4:I$10000))*1000</f>
        <v>0.57843712996535601</v>
      </c>
    </row>
    <row r="2165" spans="2:11" x14ac:dyDescent="0.35">
      <c r="B2165" s="5" t="str">
        <f t="shared" si="1308"/>
        <v>SPS4</v>
      </c>
      <c r="C2165" s="5" t="str">
        <f t="shared" si="1310"/>
        <v>CH</v>
      </c>
      <c r="D2165" t="s">
        <v>2315</v>
      </c>
      <c r="E2165" t="s">
        <v>2000</v>
      </c>
      <c r="F2165" s="1" cm="1">
        <f t="array" ref="F2165">(SUMPRODUCT(("var_ncap"=[1]OUT_TransportEnergyCons!$B$4:$B$10000)*1,ISNUMBER(SEARCH("T_B_u*bev*s4",[1]OUT_TransportEnergyCons!$A$4:$A$10000))*1,[1]OUT_TransportEnergyCons!D$4:D$10000))*1000</f>
        <v>0</v>
      </c>
      <c r="G2165" s="1" cm="1">
        <f t="array" ref="G2165">(SUMPRODUCT(("var_ncap"=[1]OUT_TransportEnergyCons!$B$4:$B$10000)*1,ISNUMBER(SEARCH("T_B_u*bev*s4",[1]OUT_TransportEnergyCons!$A$4:$A$10000))*1,[1]OUT_TransportEnergyCons!E$4:E$10000))*1000</f>
        <v>2.0468692508617499E-4</v>
      </c>
      <c r="H2165" s="1" cm="1">
        <f t="array" ref="H2165">(SUMPRODUCT(("var_ncap"=[1]OUT_TransportEnergyCons!$B$4:$B$10000)*1,ISNUMBER(SEARCH("T_B_u*bev*s4",[1]OUT_TransportEnergyCons!$A$4:$A$10000))*1,[1]OUT_TransportEnergyCons!F$4:F$10000))*1000</f>
        <v>2.2053286827053802E-4</v>
      </c>
      <c r="I2165" s="1" cm="1">
        <f t="array" ref="I2165">(SUMPRODUCT(("var_ncap"=[1]OUT_TransportEnergyCons!$B$4:$B$10000)*1,ISNUMBER(SEARCH("T_B_u*bev*s4",[1]OUT_TransportEnergyCons!$A$4:$A$10000))*1,[1]OUT_TransportEnergyCons!G$4:G$10000))*1000</f>
        <v>2.1451265910506201E-4</v>
      </c>
      <c r="J2165" s="1" cm="1">
        <f t="array" ref="J2165">(SUMPRODUCT(("var_ncap"=[1]OUT_TransportEnergyCons!$B$4:$B$10000)*1,ISNUMBER(SEARCH("T_B_u*bev*s4",[1]OUT_TransportEnergyCons!$A$4:$A$10000))*1,[1]OUT_TransportEnergyCons!H$4:H$10000))*1000</f>
        <v>3.5965977500933998E-4</v>
      </c>
      <c r="K2165" s="1" cm="1">
        <f t="array" ref="K2165">(SUMPRODUCT(("var_ncap"=[1]OUT_TransportEnergyCons!$B$4:$B$10000)*1,ISNUMBER(SEARCH("T_B_u*bev*s4",[1]OUT_TransportEnergyCons!$A$4:$A$10000))*1,[1]OUT_TransportEnergyCons!I$4:I$10000))*1000</f>
        <v>1.61497459847393E-4</v>
      </c>
    </row>
    <row r="2166" spans="2:11" x14ac:dyDescent="0.35">
      <c r="B2166" s="5" t="str">
        <f t="shared" si="1308"/>
        <v>SPS4</v>
      </c>
      <c r="C2166" s="5" t="str">
        <f t="shared" si="1310"/>
        <v>CH</v>
      </c>
      <c r="D2166" t="s">
        <v>2316</v>
      </c>
      <c r="E2166" t="s">
        <v>2000</v>
      </c>
      <c r="F2166" s="1" cm="1">
        <f t="array" ref="F2166">(SUMPRODUCT(("var_ncap"=[1]OUT_TransportEnergyCons!$B$4:$B$10000)*1,ISNUMBER(SEARCH("T_B_u*h2o*s1",[1]OUT_TransportEnergyCons!$A$4:$A$10000))*1,[1]OUT_TransportEnergyCons!D$4:D$10000))*1000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(SUMPRODUCT(("var_ncap"=[1]OUT_TransportEnergyCons!$B$4:$B$10000)*1,ISNUMBER(SEARCH("T_B_u*h2o*s1",[1]OUT_TransportEnergyCons!$A$4:$A$10000))*1,[1]OUT_TransportEnergyCons!E$4:E$10000))*1000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(SUMPRODUCT(("var_ncap"=[1]OUT_TransportEnergyCons!$B$4:$B$10000)*1,ISNUMBER(SEARCH("T_B_u*h2o*s1",[1]OUT_TransportEnergyCons!$A$4:$A$10000))*1,[1]OUT_TransportEnergyCons!F$4:F$10000))*1000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(SUMPRODUCT(("var_ncap"=[1]OUT_TransportEnergyCons!$B$4:$B$10000)*1,ISNUMBER(SEARCH("T_B_u*h2o*s1",[1]OUT_TransportEnergyCons!$A$4:$A$10000))*1,[1]OUT_TransportEnergyCons!G$4:G$10000))*1000</f>
        <v>4.9121568727530002E-5</v>
      </c>
      <c r="J2166" s="1" cm="1">
        <f t="array" ref="J2166">(SUMPRODUCT(("var_ncap"=[1]OUT_TransportEnergyCons!$B$4:$B$10000)*1,ISNUMBER(SEARCH("T_B_u*h2o*s1",[1]OUT_TransportEnergyCons!$A$4:$A$10000))*1,[1]OUT_TransportEnergyCons!H$4:H$10000))*1000</f>
        <v>1.34274526521351E-5</v>
      </c>
      <c r="K2166" s="1" cm="1">
        <f t="array" ref="K2166">(SUMPRODUCT(("var_ncap"=[1]OUT_TransportEnergyCons!$B$4:$B$10000)*1,ISNUMBER(SEARCH("T_B_u*h2o*s1",[1]OUT_TransportEnergyCons!$A$4:$A$10000))*1,[1]OUT_TransportEnergyCons!I$4:I$10000))*1000</f>
        <v>1.2880703338581099E-5</v>
      </c>
    </row>
    <row r="2167" spans="2:11" x14ac:dyDescent="0.35">
      <c r="B2167" s="5" t="str">
        <f t="shared" si="1308"/>
        <v>SPS4</v>
      </c>
      <c r="C2167" s="5" t="str">
        <f t="shared" si="1310"/>
        <v>CH</v>
      </c>
      <c r="D2167" t="s">
        <v>2317</v>
      </c>
      <c r="E2167" t="s">
        <v>2000</v>
      </c>
      <c r="F2167" s="1" cm="1">
        <f t="array" ref="F2167">(SUMPRODUCT(("var_ncap"=[1]OUT_TransportEnergyCons!$B$4:$B$10000)*1,ISNUMBER(SEARCH("T_B_u*h2o*s2",[1]OUT_TransportEnergyCons!$A$4:$A$10000))*1,[1]OUT_TransportEnergyCons!D$4:D$10000))*1000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(SUMPRODUCT(("var_ncap"=[1]OUT_TransportEnergyCons!$B$4:$B$10000)*1,ISNUMBER(SEARCH("T_B_u*h2o*s2",[1]OUT_TransportEnergyCons!$A$4:$A$10000))*1,[1]OUT_TransportEnergyCons!E$4:E$10000))*1000</f>
        <v>0</v>
      </c>
      <c r="H2167" s="1" cm="1">
        <f t="array" ref="H2167">(SUMPRODUCT(("var_ncap"=[1]OUT_TransportEnergyCons!$B$4:$B$10000)*1,ISNUMBER(SEARCH("T_B_u*h2o*s2",[1]OUT_TransportEnergyCons!$A$4:$A$10000))*1,[1]OUT_TransportEnergyCons!F$4:F$10000))*1000</f>
        <v>0</v>
      </c>
      <c r="I2167" s="1" cm="1">
        <f t="array" ref="I2167">(SUMPRODUCT(("var_ncap"=[1]OUT_TransportEnergyCons!$B$4:$B$10000)*1,ISNUMBER(SEARCH("T_B_u*h2o*s2",[1]OUT_TransportEnergyCons!$A$4:$A$10000))*1,[1]OUT_TransportEnergyCons!G$4:G$10000))*1000</f>
        <v>2.2247499154924102E-5</v>
      </c>
      <c r="J2167" s="1" cm="1">
        <f t="array" ref="J2167">(SUMPRODUCT(("var_ncap"=[1]OUT_TransportEnergyCons!$B$4:$B$10000)*1,ISNUMBER(SEARCH("T_B_u*h2o*s2",[1]OUT_TransportEnergyCons!$A$4:$A$10000))*1,[1]OUT_TransportEnergyCons!H$4:H$10000))*1000</f>
        <v>0</v>
      </c>
      <c r="K2167" s="1" cm="1">
        <f t="array" ref="K2167">(SUMPRODUCT(("var_ncap"=[1]OUT_TransportEnergyCons!$B$4:$B$10000)*1,ISNUMBER(SEARCH("T_B_u*h2o*s2",[1]OUT_TransportEnergyCons!$A$4:$A$10000))*1,[1]OUT_TransportEnergyCons!I$4:I$10000))*1000</f>
        <v>0</v>
      </c>
    </row>
    <row r="2168" spans="2:11" x14ac:dyDescent="0.35">
      <c r="B2168" s="5" t="str">
        <f t="shared" si="1308"/>
        <v>SPS4</v>
      </c>
      <c r="C2168" s="5" t="str">
        <f t="shared" si="1310"/>
        <v>CH</v>
      </c>
      <c r="D2168" t="s">
        <v>2318</v>
      </c>
      <c r="E2168" t="s">
        <v>2000</v>
      </c>
      <c r="F2168" s="1" cm="1">
        <f t="array" ref="F2168">(SUMPRODUCT(("var_ncap"=[1]OUT_TransportEnergyCons!$B$4:$B$10000)*1,ISNUMBER(SEARCH("T_B_u*h2o*s3",[1]OUT_TransportEnergyCons!$A$4:$A$10000))*1,[1]OUT_TransportEnergyCons!D$4:D$10000))*1000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(SUMPRODUCT(("var_ncap"=[1]OUT_TransportEnergyCons!$B$4:$B$10000)*1,ISNUMBER(SEARCH("T_B_u*h2o*s3",[1]OUT_TransportEnergyCons!$A$4:$A$10000))*1,[1]OUT_TransportEnergyCons!E$4:E$10000))*1000</f>
        <v>0</v>
      </c>
      <c r="H2168" s="1" cm="1">
        <f t="array" ref="H2168">(SUMPRODUCT(("var_ncap"=[1]OUT_TransportEnergyCons!$B$4:$B$10000)*1,ISNUMBER(SEARCH("T_B_u*h2o*s3",[1]OUT_TransportEnergyCons!$A$4:$A$10000))*1,[1]OUT_TransportEnergyCons!F$4:F$10000))*1000</f>
        <v>0</v>
      </c>
      <c r="I2168" s="1" cm="1">
        <f t="array" ref="I2168">(SUMPRODUCT(("var_ncap"=[1]OUT_TransportEnergyCons!$B$4:$B$10000)*1,ISNUMBER(SEARCH("T_B_u*h2o*s3",[1]OUT_TransportEnergyCons!$A$4:$A$10000))*1,[1]OUT_TransportEnergyCons!G$4:G$10000))*1000</f>
        <v>1.6249837751529999E-5</v>
      </c>
      <c r="J2168" s="1" cm="1">
        <f t="array" ref="J2168">(SUMPRODUCT(("var_ncap"=[1]OUT_TransportEnergyCons!$B$4:$B$10000)*1,ISNUMBER(SEARCH("T_B_u*h2o*s3",[1]OUT_TransportEnergyCons!$A$4:$A$10000))*1,[1]OUT_TransportEnergyCons!H$4:H$10000))*1000</f>
        <v>0</v>
      </c>
      <c r="K2168" s="1" cm="1">
        <f t="array" ref="K2168">(SUMPRODUCT(("var_ncap"=[1]OUT_TransportEnergyCons!$B$4:$B$10000)*1,ISNUMBER(SEARCH("T_B_u*h2o*s3",[1]OUT_TransportEnergyCons!$A$4:$A$10000))*1,[1]OUT_TransportEnergyCons!I$4:I$10000))*1000</f>
        <v>0</v>
      </c>
    </row>
    <row r="2169" spans="2:11" x14ac:dyDescent="0.35">
      <c r="B2169" s="5" t="str">
        <f t="shared" si="1308"/>
        <v>SPS4</v>
      </c>
      <c r="C2169" s="5" t="str">
        <f t="shared" si="1310"/>
        <v>CH</v>
      </c>
      <c r="D2169" t="s">
        <v>2319</v>
      </c>
      <c r="E2169" t="s">
        <v>2000</v>
      </c>
      <c r="F2169" s="1" cm="1">
        <f t="array" ref="F2169">(SUMPRODUCT(("var_ncap"=[1]OUT_TransportEnergyCons!$B$4:$B$10000)*1,ISNUMBER(SEARCH("T_B_u*h2o*s4",[1]OUT_TransportEnergyCons!$A$4:$A$10000))*1,[1]OUT_TransportEnergyCons!D$4:D$10000))*1000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(SUMPRODUCT(("var_ncap"=[1]OUT_TransportEnergyCons!$B$4:$B$10000)*1,ISNUMBER(SEARCH("T_B_u*h2o*s4",[1]OUT_TransportEnergyCons!$A$4:$A$10000))*1,[1]OUT_TransportEnergyCons!E$4:E$10000))*1000</f>
        <v>0</v>
      </c>
      <c r="H2169" s="1" cm="1">
        <f t="array" ref="H2169">(SUMPRODUCT(("var_ncap"=[1]OUT_TransportEnergyCons!$B$4:$B$10000)*1,ISNUMBER(SEARCH("T_B_u*h2o*s4",[1]OUT_TransportEnergyCons!$A$4:$A$10000))*1,[1]OUT_TransportEnergyCons!F$4:F$10000))*1000</f>
        <v>0</v>
      </c>
      <c r="I2169" s="1" cm="1">
        <f t="array" ref="I2169">(SUMPRODUCT(("var_ncap"=[1]OUT_TransportEnergyCons!$B$4:$B$10000)*1,ISNUMBER(SEARCH("T_B_u*h2o*s4",[1]OUT_TransportEnergyCons!$A$4:$A$10000))*1,[1]OUT_TransportEnergyCons!G$4:G$10000))*1000</f>
        <v>0</v>
      </c>
      <c r="J2169" s="1" cm="1">
        <f t="array" ref="J2169">(SUMPRODUCT(("var_ncap"=[1]OUT_TransportEnergyCons!$B$4:$B$10000)*1,ISNUMBER(SEARCH("T_B_u*h2o*s4",[1]OUT_TransportEnergyCons!$A$4:$A$10000))*1,[1]OUT_TransportEnergyCons!H$4:H$10000))*1000</f>
        <v>0</v>
      </c>
      <c r="K2169" s="1" cm="1">
        <f t="array" ref="K2169">(SUMPRODUCT(("var_ncap"=[1]OUT_TransportEnergyCons!$B$4:$B$10000)*1,ISNUMBER(SEARCH("T_B_u*h2o*s4",[1]OUT_TransportEnergyCons!$A$4:$A$10000))*1,[1]OUT_TransportEnergyCons!I$4:I$10000))*1000</f>
        <v>0</v>
      </c>
    </row>
    <row r="2170" spans="2:11" x14ac:dyDescent="0.35">
      <c r="B2170" s="5" t="str">
        <f t="shared" si="1308"/>
        <v>SPS4</v>
      </c>
      <c r="C2170" s="5" t="str">
        <f t="shared" si="1310"/>
        <v>CH</v>
      </c>
      <c r="D2170" t="s">
        <v>2320</v>
      </c>
      <c r="E2170" t="s">
        <v>2000</v>
      </c>
      <c r="F2170" s="1" cm="1">
        <f t="array" ref="F2170">(SUMPRODUCT(("var_ncap"=[1]OUT_TransportEnergyCons!$B$4:$B$10000)*1,ISNUMBER(SEARCH("T_B_u*hyb*DSL*s1",[1]OUT_TransportEnergyCons!$A$4:$A$10000))*1,[1]OUT_TransportEnergyCons!D$4:D$10000))*1000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(SUMPRODUCT(("var_ncap"=[1]OUT_TransportEnergyCons!$B$4:$B$10000)*1,ISNUMBER(SEARCH("T_B_u*hyb*DSL*s1",[1]OUT_TransportEnergyCons!$A$4:$A$10000))*1,[1]OUT_TransportEnergyCons!E$4:E$10000))*1000</f>
        <v>1.30419339014768E-2</v>
      </c>
      <c r="H2170" s="1" cm="1">
        <f t="array" ref="H2170">(SUMPRODUCT(("var_ncap"=[1]OUT_TransportEnergyCons!$B$4:$B$10000)*1,ISNUMBER(SEARCH("T_B_u*hyb*DSL*s1",[1]OUT_TransportEnergyCons!$A$4:$A$10000))*1,[1]OUT_TransportEnergyCons!F$4:F$10000))*1000</f>
        <v>1.4252268747738499E-3</v>
      </c>
      <c r="I2170" s="1" cm="1">
        <f t="array" ref="I2170">(SUMPRODUCT(("var_ncap"=[1]OUT_TransportEnergyCons!$B$4:$B$10000)*1,ISNUMBER(SEARCH("T_B_u*hyb*DSL*s1",[1]OUT_TransportEnergyCons!$A$4:$A$10000))*1,[1]OUT_TransportEnergyCons!G$4:G$10000))*1000</f>
        <v>5.1862104322306698E-4</v>
      </c>
      <c r="J2170" s="1" cm="1">
        <f t="array" ref="J2170">(SUMPRODUCT(("var_ncap"=[1]OUT_TransportEnergyCons!$B$4:$B$10000)*1,ISNUMBER(SEARCH("T_B_u*hyb*DSL*s1",[1]OUT_TransportEnergyCons!$A$4:$A$10000))*1,[1]OUT_TransportEnergyCons!H$4:H$10000))*1000</f>
        <v>1.2610880553228E-3</v>
      </c>
      <c r="K2170" s="1" cm="1">
        <f t="array" ref="K2170">(SUMPRODUCT(("var_ncap"=[1]OUT_TransportEnergyCons!$B$4:$B$10000)*1,ISNUMBER(SEARCH("T_B_u*hyb*DSL*s1",[1]OUT_TransportEnergyCons!$A$4:$A$10000))*1,[1]OUT_TransportEnergyCons!I$4:I$10000))*1000</f>
        <v>1.65575880004622E-3</v>
      </c>
    </row>
    <row r="2171" spans="2:11" x14ac:dyDescent="0.35">
      <c r="B2171" s="5" t="str">
        <f t="shared" si="1308"/>
        <v>SPS4</v>
      </c>
      <c r="C2171" s="5" t="str">
        <f t="shared" si="1310"/>
        <v>CH</v>
      </c>
      <c r="D2171" t="s">
        <v>2321</v>
      </c>
      <c r="E2171" t="s">
        <v>2000</v>
      </c>
      <c r="F2171" s="1" cm="1">
        <f t="array" ref="F2171">(SUMPRODUCT(("var_ncap"=[1]OUT_TransportEnergyCons!$B$4:$B$10000)*1,ISNUMBER(SEARCH("T_B_u*hyb*DSL*s2",[1]OUT_TransportEnergyCons!$A$4:$A$10000))*1,[1]OUT_TransportEnergyCons!D$4:D$10000))*1000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(SUMPRODUCT(("var_ncap"=[1]OUT_TransportEnergyCons!$B$4:$B$10000)*1,ISNUMBER(SEARCH("T_B_u*hyb*DSL*s2",[1]OUT_TransportEnergyCons!$A$4:$A$10000))*1,[1]OUT_TransportEnergyCons!E$4:E$10000))*1000</f>
        <v>1.0125141485997399E-3</v>
      </c>
      <c r="H2171" s="1" cm="1">
        <f t="array" ref="H2171">(SUMPRODUCT(("var_ncap"=[1]OUT_TransportEnergyCons!$B$4:$B$10000)*1,ISNUMBER(SEARCH("T_B_u*hyb*DSL*s2",[1]OUT_TransportEnergyCons!$A$4:$A$10000))*1,[1]OUT_TransportEnergyCons!F$4:F$10000))*1000</f>
        <v>5.7667191031989993E-4</v>
      </c>
      <c r="I2171" s="1" cm="1">
        <f t="array" ref="I2171">(SUMPRODUCT(("var_ncap"=[1]OUT_TransportEnergyCons!$B$4:$B$10000)*1,ISNUMBER(SEARCH("T_B_u*hyb*DSL*s2",[1]OUT_TransportEnergyCons!$A$4:$A$10000))*1,[1]OUT_TransportEnergyCons!G$4:G$10000))*1000</f>
        <v>4.0477131223514199E-4</v>
      </c>
      <c r="J2171" s="1" cm="1">
        <f t="array" ref="J2171">(SUMPRODUCT(("var_ncap"=[1]OUT_TransportEnergyCons!$B$4:$B$10000)*1,ISNUMBER(SEARCH("T_B_u*hyb*DSL*s2",[1]OUT_TransportEnergyCons!$A$4:$A$10000))*1,[1]OUT_TransportEnergyCons!H$4:H$10000))*1000</f>
        <v>8.2406446190275194E-4</v>
      </c>
      <c r="K2171" s="1" cm="1">
        <f t="array" ref="K2171">(SUMPRODUCT(("var_ncap"=[1]OUT_TransportEnergyCons!$B$4:$B$10000)*1,ISNUMBER(SEARCH("T_B_u*hyb*DSL*s2",[1]OUT_TransportEnergyCons!$A$4:$A$10000))*1,[1]OUT_TransportEnergyCons!I$4:I$10000))*1000</f>
        <v>8.6534398702591399E-4</v>
      </c>
    </row>
    <row r="2172" spans="2:11" x14ac:dyDescent="0.35">
      <c r="B2172" s="5" t="str">
        <f t="shared" si="1308"/>
        <v>SPS4</v>
      </c>
      <c r="C2172" s="5" t="str">
        <f t="shared" si="1310"/>
        <v>CH</v>
      </c>
      <c r="D2172" t="s">
        <v>2322</v>
      </c>
      <c r="E2172" t="s">
        <v>2000</v>
      </c>
      <c r="F2172" s="1" cm="1">
        <f t="array" ref="F2172">(SUMPRODUCT(("var_ncap"=[1]OUT_TransportEnergyCons!$B$4:$B$10000)*1,ISNUMBER(SEARCH("T_B_u*hyb*DSL*s3",[1]OUT_TransportEnergyCons!$A$4:$A$10000))*1,[1]OUT_TransportEnergyCons!D$4:D$10000))*1000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(SUMPRODUCT(("var_ncap"=[1]OUT_TransportEnergyCons!$B$4:$B$10000)*1,ISNUMBER(SEARCH("T_B_u*hyb*DSL*s3",[1]OUT_TransportEnergyCons!$A$4:$A$10000))*1,[1]OUT_TransportEnergyCons!E$4:E$10000))*1000</f>
        <v>6.3621919994936993E-2</v>
      </c>
      <c r="H2172" s="1" cm="1">
        <f t="array" ref="H2172">(SUMPRODUCT(("var_ncap"=[1]OUT_TransportEnergyCons!$B$4:$B$10000)*1,ISNUMBER(SEARCH("T_B_u*hyb*DSL*s3",[1]OUT_TransportEnergyCons!$A$4:$A$10000))*1,[1]OUT_TransportEnergyCons!F$4:F$10000))*1000</f>
        <v>0.83274635836602806</v>
      </c>
      <c r="I2172" s="1" cm="1">
        <f t="array" ref="I2172">(SUMPRODUCT(("var_ncap"=[1]OUT_TransportEnergyCons!$B$4:$B$10000)*1,ISNUMBER(SEARCH("T_B_u*hyb*DSL*s3",[1]OUT_TransportEnergyCons!$A$4:$A$10000))*1,[1]OUT_TransportEnergyCons!G$4:G$10000))*1000</f>
        <v>0.68268615888153394</v>
      </c>
      <c r="J2172" s="1" cm="1">
        <f t="array" ref="J2172">(SUMPRODUCT(("var_ncap"=[1]OUT_TransportEnergyCons!$B$4:$B$10000)*1,ISNUMBER(SEARCH("T_B_u*hyb*DSL*s3",[1]OUT_TransportEnergyCons!$A$4:$A$10000))*1,[1]OUT_TransportEnergyCons!H$4:H$10000))*1000</f>
        <v>0.81350712533963199</v>
      </c>
      <c r="K2172" s="1" cm="1">
        <f t="array" ref="K2172">(SUMPRODUCT(("var_ncap"=[1]OUT_TransportEnergyCons!$B$4:$B$10000)*1,ISNUMBER(SEARCH("T_B_u*hyb*DSL*s3",[1]OUT_TransportEnergyCons!$A$4:$A$10000))*1,[1]OUT_TransportEnergyCons!I$4:I$10000))*1000</f>
        <v>2.5546025357895901</v>
      </c>
    </row>
    <row r="2173" spans="2:11" x14ac:dyDescent="0.35">
      <c r="B2173" s="5" t="str">
        <f t="shared" si="1308"/>
        <v>SPS4</v>
      </c>
      <c r="C2173" s="5" t="str">
        <f t="shared" si="1310"/>
        <v>CH</v>
      </c>
      <c r="D2173" t="s">
        <v>2323</v>
      </c>
      <c r="E2173" t="s">
        <v>2000</v>
      </c>
      <c r="F2173" s="1" cm="1">
        <f t="array" ref="F2173">(SUMPRODUCT(("var_ncap"=[1]OUT_TransportEnergyCons!$B$4:$B$10000)*1,ISNUMBER(SEARCH("T_B_u*hyb*DSL*s4",[1]OUT_TransportEnergyCons!$A$4:$A$10000))*1,[1]OUT_TransportEnergyCons!D$4:D$10000))*1000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(SUMPRODUCT(("var_ncap"=[1]OUT_TransportEnergyCons!$B$4:$B$10000)*1,ISNUMBER(SEARCH("T_B_u*hyb*DSL*s4",[1]OUT_TransportEnergyCons!$A$4:$A$10000))*1,[1]OUT_TransportEnergyCons!E$4:E$10000))*1000</f>
        <v>2.1426980067166299E-5</v>
      </c>
      <c r="H2173" s="1" cm="1">
        <f t="array" ref="H2173">(SUMPRODUCT(("var_ncap"=[1]OUT_TransportEnergyCons!$B$4:$B$10000)*1,ISNUMBER(SEARCH("T_B_u*hyb*DSL*s4",[1]OUT_TransportEnergyCons!$A$4:$A$10000))*1,[1]OUT_TransportEnergyCons!F$4:F$10000))*1000</f>
        <v>2.1007375786680799E-5</v>
      </c>
      <c r="I2173" s="1" cm="1">
        <f t="array" ref="I2173">(SUMPRODUCT(("var_ncap"=[1]OUT_TransportEnergyCons!$B$4:$B$10000)*1,ISNUMBER(SEARCH("T_B_u*hyb*DSL*s4",[1]OUT_TransportEnergyCons!$A$4:$A$10000))*1,[1]OUT_TransportEnergyCons!G$4:G$10000))*1000</f>
        <v>1.5464083283574999E-5</v>
      </c>
      <c r="J2173" s="1" cm="1">
        <f t="array" ref="J2173">(SUMPRODUCT(("var_ncap"=[1]OUT_TransportEnergyCons!$B$4:$B$10000)*1,ISNUMBER(SEARCH("T_B_u*hyb*DSL*s4",[1]OUT_TransportEnergyCons!$A$4:$A$10000))*1,[1]OUT_TransportEnergyCons!H$4:H$10000))*1000</f>
        <v>3.0761610157982698E-5</v>
      </c>
      <c r="K2173" s="1" cm="1">
        <f t="array" ref="K2173">(SUMPRODUCT(("var_ncap"=[1]OUT_TransportEnergyCons!$B$4:$B$10000)*1,ISNUMBER(SEARCH("T_B_u*hyb*DSL*s4",[1]OUT_TransportEnergyCons!$A$4:$A$10000))*1,[1]OUT_TransportEnergyCons!I$4:I$10000))*1000</f>
        <v>1.2168987566710501E-5</v>
      </c>
    </row>
    <row r="2174" spans="2:11" x14ac:dyDescent="0.35">
      <c r="B2174" s="5" t="str">
        <f t="shared" ref="B2174:B2237" si="1312">B2173</f>
        <v>SPS4</v>
      </c>
      <c r="C2174" s="5" t="str">
        <f t="shared" si="1310"/>
        <v>CH</v>
      </c>
      <c r="D2174" t="s">
        <v>2324</v>
      </c>
      <c r="E2174" t="s">
        <v>2000</v>
      </c>
      <c r="F2174" s="1" cm="1">
        <f t="array" ref="F2174">(SUMPRODUCT(("var_ncap"=[1]OUT_TransportEnergyCons!$B$4:$B$10000)*1,ISNUMBER(SEARCH("T_B_u*ICE*DSL*ext",[1]OUT_TransportEnergyCons!$A$4:$A$10000))*1,[1]OUT_TransportEnergyCons!D$4:D$10000))*1000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(SUMPRODUCT(("var_ncap"=[1]OUT_TransportEnergyCons!$B$4:$B$10000)*1,ISNUMBER(SEARCH("T_B_u*ICE*DSL*ext",[1]OUT_TransportEnergyCons!$A$4:$A$10000))*1,[1]OUT_TransportEnergyCons!E$4:E$10000))*1000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(SUMPRODUCT(("var_ncap"=[1]OUT_TransportEnergyCons!$B$4:$B$10000)*1,ISNUMBER(SEARCH("T_B_u*ICE*DSL*ext",[1]OUT_TransportEnergyCons!$A$4:$A$10000))*1,[1]OUT_TransportEnergyCons!F$4:F$10000))*1000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(SUMPRODUCT(("var_ncap"=[1]OUT_TransportEnergyCons!$B$4:$B$10000)*1,ISNUMBER(SEARCH("T_B_u*ICE*DSL*ext",[1]OUT_TransportEnergyCons!$A$4:$A$10000))*1,[1]OUT_TransportEnergyCons!G$4:G$10000))*1000</f>
        <v>0</v>
      </c>
      <c r="J2174" s="1" cm="1">
        <f t="array" ref="J2174">(SUMPRODUCT(("var_ncap"=[1]OUT_TransportEnergyCons!$B$4:$B$10000)*1,ISNUMBER(SEARCH("T_B_u*ICE*DSL*ext",[1]OUT_TransportEnergyCons!$A$4:$A$10000))*1,[1]OUT_TransportEnergyCons!H$4:H$10000))*1000</f>
        <v>0</v>
      </c>
      <c r="K2174" s="1" cm="1">
        <f t="array" ref="K2174">(SUMPRODUCT(("var_ncap"=[1]OUT_TransportEnergyCons!$B$4:$B$10000)*1,ISNUMBER(SEARCH("T_B_u*ICE*DSL*ext",[1]OUT_TransportEnergyCons!$A$4:$A$10000))*1,[1]OUT_TransportEnergyCons!I$4:I$10000))*1000</f>
        <v>0</v>
      </c>
    </row>
    <row r="2175" spans="2:11" x14ac:dyDescent="0.35">
      <c r="B2175" s="5" t="str">
        <f t="shared" si="1312"/>
        <v>SPS4</v>
      </c>
      <c r="C2175" s="5" t="str">
        <f t="shared" si="1310"/>
        <v>CH</v>
      </c>
      <c r="D2175" t="s">
        <v>2325</v>
      </c>
      <c r="E2175" t="s">
        <v>2000</v>
      </c>
      <c r="F2175" s="1" cm="1">
        <f t="array" ref="F2175">(SUMPRODUCT(("var_ncap"=[1]OUT_TransportEnergyCons!$B$4:$B$10000)*1,ISNUMBER(SEARCH("T_B_u*ICE*DSL*s1",[1]OUT_TransportEnergyCons!$A$4:$A$10000))*1,[1]OUT_TransportEnergyCons!D$4:D$10000))*1000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(SUMPRODUCT(("var_ncap"=[1]OUT_TransportEnergyCons!$B$4:$B$10000)*1,ISNUMBER(SEARCH("T_B_u*ICE*DSL*s1",[1]OUT_TransportEnergyCons!$A$4:$A$10000))*1,[1]OUT_TransportEnergyCons!E$4:E$10000))*1000</f>
        <v>0.63647518975259898</v>
      </c>
      <c r="H2175" s="1" cm="1">
        <f t="array" ref="H2175">(SUMPRODUCT(("var_ncap"=[1]OUT_TransportEnergyCons!$B$4:$B$10000)*1,ISNUMBER(SEARCH("T_B_u*ICE*DSL*s1",[1]OUT_TransportEnergyCons!$A$4:$A$10000))*1,[1]OUT_TransportEnergyCons!F$4:F$10000))*1000</f>
        <v>0.51861753148524603</v>
      </c>
      <c r="I2175" s="1" cm="1">
        <f t="array" ref="I2175">(SUMPRODUCT(("var_ncap"=[1]OUT_TransportEnergyCons!$B$4:$B$10000)*1,ISNUMBER(SEARCH("T_B_u*ICE*DSL*s1",[1]OUT_TransportEnergyCons!$A$4:$A$10000))*1,[1]OUT_TransportEnergyCons!G$4:G$10000))*1000</f>
        <v>0</v>
      </c>
      <c r="J2175" s="1" cm="1">
        <f t="array" ref="J2175">(SUMPRODUCT(("var_ncap"=[1]OUT_TransportEnergyCons!$B$4:$B$10000)*1,ISNUMBER(SEARCH("T_B_u*ICE*DSL*s1",[1]OUT_TransportEnergyCons!$A$4:$A$10000))*1,[1]OUT_TransportEnergyCons!H$4:H$10000))*1000</f>
        <v>0</v>
      </c>
      <c r="K2175" s="1" cm="1">
        <f t="array" ref="K2175">(SUMPRODUCT(("var_ncap"=[1]OUT_TransportEnergyCons!$B$4:$B$10000)*1,ISNUMBER(SEARCH("T_B_u*ICE*DSL*s1",[1]OUT_TransportEnergyCons!$A$4:$A$10000))*1,[1]OUT_TransportEnergyCons!I$4:I$10000))*1000</f>
        <v>0</v>
      </c>
    </row>
    <row r="2176" spans="2:11" x14ac:dyDescent="0.35">
      <c r="B2176" s="5" t="str">
        <f t="shared" si="1312"/>
        <v>SPS4</v>
      </c>
      <c r="C2176" s="5" t="str">
        <f t="shared" si="1310"/>
        <v>CH</v>
      </c>
      <c r="D2176" t="s">
        <v>2326</v>
      </c>
      <c r="E2176" t="s">
        <v>2000</v>
      </c>
      <c r="F2176" s="1" cm="1">
        <f t="array" ref="F2176">(SUMPRODUCT(("var_ncap"=[1]OUT_TransportEnergyCons!$B$4:$B$10000)*1,ISNUMBER(SEARCH("T_B_u*ICE*DSL*s2",[1]OUT_TransportEnergyCons!$A$4:$A$10000))*1,[1]OUT_TransportEnergyCons!D$4:D$10000))*1000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(SUMPRODUCT(("var_ncap"=[1]OUT_TransportEnergyCons!$B$4:$B$10000)*1,ISNUMBER(SEARCH("T_B_u*ICE*DSL*s2",[1]OUT_TransportEnergyCons!$A$4:$A$10000))*1,[1]OUT_TransportEnergyCons!E$4:E$10000))*1000</f>
        <v>1.02834299623839E-2</v>
      </c>
      <c r="H2176" s="1" cm="1">
        <f t="array" ref="H2176">(SUMPRODUCT(("var_ncap"=[1]OUT_TransportEnergyCons!$B$4:$B$10000)*1,ISNUMBER(SEARCH("T_B_u*ICE*DSL*s2",[1]OUT_TransportEnergyCons!$A$4:$A$10000))*1,[1]OUT_TransportEnergyCons!F$4:F$10000))*1000</f>
        <v>0.15521286002302701</v>
      </c>
      <c r="I2176" s="1" cm="1">
        <f t="array" ref="I2176">(SUMPRODUCT(("var_ncap"=[1]OUT_TransportEnergyCons!$B$4:$B$10000)*1,ISNUMBER(SEARCH("T_B_u*ICE*DSL*s2",[1]OUT_TransportEnergyCons!$A$4:$A$10000))*1,[1]OUT_TransportEnergyCons!G$4:G$10000))*1000</f>
        <v>0</v>
      </c>
      <c r="J2176" s="1" cm="1">
        <f t="array" ref="J2176">(SUMPRODUCT(("var_ncap"=[1]OUT_TransportEnergyCons!$B$4:$B$10000)*1,ISNUMBER(SEARCH("T_B_u*ICE*DSL*s2",[1]OUT_TransportEnergyCons!$A$4:$A$10000))*1,[1]OUT_TransportEnergyCons!H$4:H$10000))*1000</f>
        <v>0</v>
      </c>
      <c r="K2176" s="1" cm="1">
        <f t="array" ref="K2176">(SUMPRODUCT(("var_ncap"=[1]OUT_TransportEnergyCons!$B$4:$B$10000)*1,ISNUMBER(SEARCH("T_B_u*ICE*DSL*s2",[1]OUT_TransportEnergyCons!$A$4:$A$10000))*1,[1]OUT_TransportEnergyCons!I$4:I$10000))*1000</f>
        <v>0</v>
      </c>
    </row>
    <row r="2177" spans="2:11" x14ac:dyDescent="0.35">
      <c r="B2177" s="5" t="str">
        <f t="shared" si="1312"/>
        <v>SPS4</v>
      </c>
      <c r="C2177" s="5" t="str">
        <f t="shared" si="1310"/>
        <v>CH</v>
      </c>
      <c r="D2177" t="s">
        <v>2327</v>
      </c>
      <c r="E2177" t="s">
        <v>2000</v>
      </c>
      <c r="F2177" s="1" cm="1">
        <f t="array" ref="F2177">(SUMPRODUCT(("var_ncap"=[1]OUT_TransportEnergyCons!$B$4:$B$10000)*1,ISNUMBER(SEARCH("T_B_u*ICE*DSL*s3",[1]OUT_TransportEnergyCons!$A$4:$A$10000))*1,[1]OUT_TransportEnergyCons!D$4:D$10000))*1000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(SUMPRODUCT(("var_ncap"=[1]OUT_TransportEnergyCons!$B$4:$B$10000)*1,ISNUMBER(SEARCH("T_B_u*ICE*DSL*s3",[1]OUT_TransportEnergyCons!$A$4:$A$10000))*1,[1]OUT_TransportEnergyCons!E$4:E$10000))*1000</f>
        <v>2.2424584384275904E-3</v>
      </c>
      <c r="H2177" s="1" cm="1">
        <f t="array" ref="H2177">(SUMPRODUCT(("var_ncap"=[1]OUT_TransportEnergyCons!$B$4:$B$10000)*1,ISNUMBER(SEARCH("T_B_u*ICE*DSL*s3",[1]OUT_TransportEnergyCons!$A$4:$A$10000))*1,[1]OUT_TransportEnergyCons!F$4:F$10000))*1000</f>
        <v>3.3167024242339202E-4</v>
      </c>
      <c r="I2177" s="1" cm="1">
        <f t="array" ref="I2177">(SUMPRODUCT(("var_ncap"=[1]OUT_TransportEnergyCons!$B$4:$B$10000)*1,ISNUMBER(SEARCH("T_B_u*ICE*DSL*s3",[1]OUT_TransportEnergyCons!$A$4:$A$10000))*1,[1]OUT_TransportEnergyCons!G$4:G$10000))*1000</f>
        <v>0</v>
      </c>
      <c r="J2177" s="1" cm="1">
        <f t="array" ref="J2177">(SUMPRODUCT(("var_ncap"=[1]OUT_TransportEnergyCons!$B$4:$B$10000)*1,ISNUMBER(SEARCH("T_B_u*ICE*DSL*s3",[1]OUT_TransportEnergyCons!$A$4:$A$10000))*1,[1]OUT_TransportEnergyCons!H$4:H$10000))*1000</f>
        <v>0</v>
      </c>
      <c r="K2177" s="1" cm="1">
        <f t="array" ref="K2177">(SUMPRODUCT(("var_ncap"=[1]OUT_TransportEnergyCons!$B$4:$B$10000)*1,ISNUMBER(SEARCH("T_B_u*ICE*DSL*s3",[1]OUT_TransportEnergyCons!$A$4:$A$10000))*1,[1]OUT_TransportEnergyCons!I$4:I$10000))*1000</f>
        <v>0</v>
      </c>
    </row>
    <row r="2178" spans="2:11" x14ac:dyDescent="0.35">
      <c r="B2178" s="5" t="str">
        <f t="shared" si="1312"/>
        <v>SPS4</v>
      </c>
      <c r="C2178" s="5" t="str">
        <f t="shared" si="1310"/>
        <v>CH</v>
      </c>
      <c r="D2178" t="s">
        <v>2328</v>
      </c>
      <c r="E2178" t="s">
        <v>2000</v>
      </c>
      <c r="F2178" s="1" cm="1">
        <f t="array" ref="F2178">(SUMPRODUCT(("var_ncap"=[1]OUT_TransportEnergyCons!$B$4:$B$10000)*1,ISNUMBER(SEARCH("T_B_u*ICE*DSL*s4",[1]OUT_TransportEnergyCons!$A$4:$A$10000))*1,[1]OUT_TransportEnergyCons!D$4:D$10000))*1000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(SUMPRODUCT(("var_ncap"=[1]OUT_TransportEnergyCons!$B$4:$B$10000)*1,ISNUMBER(SEARCH("T_B_u*ICE*DSL*s4",[1]OUT_TransportEnergyCons!$A$4:$A$10000))*1,[1]OUT_TransportEnergyCons!E$4:E$10000))*1000</f>
        <v>2.01458239951535E-5</v>
      </c>
      <c r="H2178" s="1" cm="1">
        <f t="array" ref="H2178">(SUMPRODUCT(("var_ncap"=[1]OUT_TransportEnergyCons!$B$4:$B$10000)*1,ISNUMBER(SEARCH("T_B_u*ICE*DSL*s4",[1]OUT_TransportEnergyCons!$A$4:$A$10000))*1,[1]OUT_TransportEnergyCons!F$4:F$10000))*1000</f>
        <v>2.1730626146171201E-5</v>
      </c>
      <c r="I2178" s="1" cm="1">
        <f t="array" ref="I2178">(SUMPRODUCT(("var_ncap"=[1]OUT_TransportEnergyCons!$B$4:$B$10000)*1,ISNUMBER(SEARCH("T_B_u*ICE*DSL*s4",[1]OUT_TransportEnergyCons!$A$4:$A$10000))*1,[1]OUT_TransportEnergyCons!G$4:G$10000))*1000</f>
        <v>0</v>
      </c>
      <c r="J2178" s="1" cm="1">
        <f t="array" ref="J2178">(SUMPRODUCT(("var_ncap"=[1]OUT_TransportEnergyCons!$B$4:$B$10000)*1,ISNUMBER(SEARCH("T_B_u*ICE*DSL*s4",[1]OUT_TransportEnergyCons!$A$4:$A$10000))*1,[1]OUT_TransportEnergyCons!H$4:H$10000))*1000</f>
        <v>0</v>
      </c>
      <c r="K2178" s="1" cm="1">
        <f t="array" ref="K2178">(SUMPRODUCT(("var_ncap"=[1]OUT_TransportEnergyCons!$B$4:$B$10000)*1,ISNUMBER(SEARCH("T_B_u*ICE*DSL*s4",[1]OUT_TransportEnergyCons!$A$4:$A$10000))*1,[1]OUT_TransportEnergyCons!I$4:I$10000))*1000</f>
        <v>0</v>
      </c>
    </row>
    <row r="2179" spans="2:11" x14ac:dyDescent="0.35">
      <c r="B2179" s="5" t="str">
        <f t="shared" si="1312"/>
        <v>SPS4</v>
      </c>
      <c r="C2179" s="5" t="str">
        <f t="shared" si="1310"/>
        <v>CH</v>
      </c>
      <c r="D2179" t="s">
        <v>2329</v>
      </c>
      <c r="E2179" t="s">
        <v>2000</v>
      </c>
      <c r="F2179" s="1" cm="1">
        <f t="array" ref="F2179">(SUMPRODUCT(("var_ncap"=[1]OUT_TransportEnergyCons!$B$4:$B$10000)*1,ISNUMBER(SEARCH("T_B_u*ICE*nga*ext",[1]OUT_TransportEnergyCons!$A$4:$A$10000))*1,[1]OUT_TransportEnergyCons!D$4:D$10000))*1000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(SUMPRODUCT(("var_ncap"=[1]OUT_TransportEnergyCons!$B$4:$B$10000)*1,ISNUMBER(SEARCH("T_B_u*ICE*nga*ext",[1]OUT_TransportEnergyCons!$A$4:$A$10000))*1,[1]OUT_TransportEnergyCons!E$4:E$10000))*1000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(SUMPRODUCT(("var_ncap"=[1]OUT_TransportEnergyCons!$B$4:$B$10000)*1,ISNUMBER(SEARCH("T_B_u*ICE*nga*ext",[1]OUT_TransportEnergyCons!$A$4:$A$10000))*1,[1]OUT_TransportEnergyCons!F$4:F$10000))*1000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(SUMPRODUCT(("var_ncap"=[1]OUT_TransportEnergyCons!$B$4:$B$10000)*1,ISNUMBER(SEARCH("T_B_u*ICE*nga*ext",[1]OUT_TransportEnergyCons!$A$4:$A$10000))*1,[1]OUT_TransportEnergyCons!G$4:G$10000))*1000</f>
        <v>0</v>
      </c>
      <c r="J2179" s="1" cm="1">
        <f t="array" ref="J2179">(SUMPRODUCT(("var_ncap"=[1]OUT_TransportEnergyCons!$B$4:$B$10000)*1,ISNUMBER(SEARCH("T_B_u*ICE*nga*ext",[1]OUT_TransportEnergyCons!$A$4:$A$10000))*1,[1]OUT_TransportEnergyCons!H$4:H$10000))*1000</f>
        <v>0</v>
      </c>
      <c r="K2179" s="1" cm="1">
        <f t="array" ref="K2179">(SUMPRODUCT(("var_ncap"=[1]OUT_TransportEnergyCons!$B$4:$B$10000)*1,ISNUMBER(SEARCH("T_B_u*ICE*nga*ext",[1]OUT_TransportEnergyCons!$A$4:$A$10000))*1,[1]OUT_TransportEnergyCons!I$4:I$10000))*1000</f>
        <v>0</v>
      </c>
    </row>
    <row r="2180" spans="2:11" x14ac:dyDescent="0.35">
      <c r="B2180" s="5" t="str">
        <f t="shared" si="1312"/>
        <v>SPS4</v>
      </c>
      <c r="C2180" s="5" t="str">
        <f t="shared" si="1310"/>
        <v>CH</v>
      </c>
      <c r="D2180" t="s">
        <v>2330</v>
      </c>
      <c r="E2180" t="s">
        <v>2000</v>
      </c>
      <c r="F2180" s="1" cm="1">
        <f t="array" ref="F2180">(SUMPRODUCT(("var_ncap"=[1]OUT_TransportEnergyCons!$B$4:$B$10000)*1,ISNUMBER(SEARCH("T_B_u*ICE*nga*s1",[1]OUT_TransportEnergyCons!$A$4:$A$10000))*1,[1]OUT_TransportEnergyCons!D$4:D$10000))*1000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(SUMPRODUCT(("var_ncap"=[1]OUT_TransportEnergyCons!$B$4:$B$10000)*1,ISNUMBER(SEARCH("T_B_u*ICE*nga*s1",[1]OUT_TransportEnergyCons!$A$4:$A$10000))*1,[1]OUT_TransportEnergyCons!E$4:E$10000))*1000</f>
        <v>4.4743781226219898E-4</v>
      </c>
      <c r="H2180" s="1" cm="1">
        <f t="array" ref="H2180">(SUMPRODUCT(("var_ncap"=[1]OUT_TransportEnergyCons!$B$4:$B$10000)*1,ISNUMBER(SEARCH("T_B_u*ICE*nga*s1",[1]OUT_TransportEnergyCons!$A$4:$A$10000))*1,[1]OUT_TransportEnergyCons!F$4:F$10000))*1000</f>
        <v>2.3267346834577002E-3</v>
      </c>
      <c r="I2180" s="1" cm="1">
        <f t="array" ref="I2180">(SUMPRODUCT(("var_ncap"=[1]OUT_TransportEnergyCons!$B$4:$B$10000)*1,ISNUMBER(SEARCH("T_B_u*ICE*nga*s1",[1]OUT_TransportEnergyCons!$A$4:$A$10000))*1,[1]OUT_TransportEnergyCons!G$4:G$10000))*1000</f>
        <v>1.8687864189722501E-5</v>
      </c>
      <c r="J2180" s="1" cm="1">
        <f t="array" ref="J2180">(SUMPRODUCT(("var_ncap"=[1]OUT_TransportEnergyCons!$B$4:$B$10000)*1,ISNUMBER(SEARCH("T_B_u*ICE*nga*s1",[1]OUT_TransportEnergyCons!$A$4:$A$10000))*1,[1]OUT_TransportEnergyCons!H$4:H$10000))*1000</f>
        <v>1.8134306582853901E-5</v>
      </c>
      <c r="K2180" s="1" cm="1">
        <f t="array" ref="K2180">(SUMPRODUCT(("var_ncap"=[1]OUT_TransportEnergyCons!$B$4:$B$10000)*1,ISNUMBER(SEARCH("T_B_u*ICE*nga*s1",[1]OUT_TransportEnergyCons!$A$4:$A$10000))*1,[1]OUT_TransportEnergyCons!I$4:I$10000))*1000</f>
        <v>1.7942179897232099E-5</v>
      </c>
    </row>
    <row r="2181" spans="2:11" x14ac:dyDescent="0.35">
      <c r="B2181" s="5" t="str">
        <f t="shared" si="1312"/>
        <v>SPS4</v>
      </c>
      <c r="C2181" s="5" t="str">
        <f t="shared" si="1310"/>
        <v>CH</v>
      </c>
      <c r="D2181" t="s">
        <v>2331</v>
      </c>
      <c r="E2181" t="s">
        <v>2000</v>
      </c>
      <c r="F2181" s="1" cm="1">
        <f t="array" ref="F2181">(SUMPRODUCT(("var_ncap"=[1]OUT_TransportEnergyCons!$B$4:$B$10000)*1,ISNUMBER(SEARCH("T_B_u*ICE*nga*s2",[1]OUT_TransportEnergyCons!$A$4:$A$10000))*1,[1]OUT_TransportEnergyCons!D$4:D$10000))*1000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(SUMPRODUCT(("var_ncap"=[1]OUT_TransportEnergyCons!$B$4:$B$10000)*1,ISNUMBER(SEARCH("T_B_u*ICE*nga*s2",[1]OUT_TransportEnergyCons!$A$4:$A$10000))*1,[1]OUT_TransportEnergyCons!E$4:E$10000))*1000</f>
        <v>1.8021199279879202E-4</v>
      </c>
      <c r="H2181" s="1" cm="1">
        <f t="array" ref="H2181">(SUMPRODUCT(("var_ncap"=[1]OUT_TransportEnergyCons!$B$4:$B$10000)*1,ISNUMBER(SEARCH("T_B_u*ICE*nga*s2",[1]OUT_TransportEnergyCons!$A$4:$A$10000))*1,[1]OUT_TransportEnergyCons!F$4:F$10000))*1000</f>
        <v>2.8777959310400201E-2</v>
      </c>
      <c r="I2181" s="1" cm="1">
        <f t="array" ref="I2181">(SUMPRODUCT(("var_ncap"=[1]OUT_TransportEnergyCons!$B$4:$B$10000)*1,ISNUMBER(SEARCH("T_B_u*ICE*nga*s2",[1]OUT_TransportEnergyCons!$A$4:$A$10000))*1,[1]OUT_TransportEnergyCons!G$4:G$10000))*1000</f>
        <v>0</v>
      </c>
      <c r="J2181" s="1" cm="1">
        <f t="array" ref="J2181">(SUMPRODUCT(("var_ncap"=[1]OUT_TransportEnergyCons!$B$4:$B$10000)*1,ISNUMBER(SEARCH("T_B_u*ICE*nga*s2",[1]OUT_TransportEnergyCons!$A$4:$A$10000))*1,[1]OUT_TransportEnergyCons!H$4:H$10000))*1000</f>
        <v>0</v>
      </c>
      <c r="K2181" s="1" cm="1">
        <f t="array" ref="K2181">(SUMPRODUCT(("var_ncap"=[1]OUT_TransportEnergyCons!$B$4:$B$10000)*1,ISNUMBER(SEARCH("T_B_u*ICE*nga*s2",[1]OUT_TransportEnergyCons!$A$4:$A$10000))*1,[1]OUT_TransportEnergyCons!I$4:I$10000))*1000</f>
        <v>0</v>
      </c>
    </row>
    <row r="2182" spans="2:11" x14ac:dyDescent="0.35">
      <c r="B2182" s="5" t="str">
        <f t="shared" si="1312"/>
        <v>SPS4</v>
      </c>
      <c r="C2182" s="5" t="str">
        <f t="shared" si="1310"/>
        <v>CH</v>
      </c>
      <c r="D2182" t="s">
        <v>2332</v>
      </c>
      <c r="E2182" t="s">
        <v>2000</v>
      </c>
      <c r="F2182" s="1" cm="1">
        <f t="array" ref="F2182">(SUMPRODUCT(("var_ncap"=[1]OUT_TransportEnergyCons!$B$4:$B$10000)*1,ISNUMBER(SEARCH("T_B_u*ICE*nga*s3",[1]OUT_TransportEnergyCons!$A$4:$A$10000))*1,[1]OUT_TransportEnergyCons!D$4:D$10000))*1000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(SUMPRODUCT(("var_ncap"=[1]OUT_TransportEnergyCons!$B$4:$B$10000)*1,ISNUMBER(SEARCH("T_B_u*ICE*nga*s3",[1]OUT_TransportEnergyCons!$A$4:$A$10000))*1,[1]OUT_TransportEnergyCons!E$4:E$10000))*1000</f>
        <v>7.5335485005301989E-5</v>
      </c>
      <c r="H2182" s="1" cm="1">
        <f t="array" ref="H2182">(SUMPRODUCT(("var_ncap"=[1]OUT_TransportEnergyCons!$B$4:$B$10000)*1,ISNUMBER(SEARCH("T_B_u*ICE*nga*s3",[1]OUT_TransportEnergyCons!$A$4:$A$10000))*1,[1]OUT_TransportEnergyCons!F$4:F$10000))*1000</f>
        <v>2.6367102107678197E-4</v>
      </c>
      <c r="I2182" s="1" cm="1">
        <f t="array" ref="I2182">(SUMPRODUCT(("var_ncap"=[1]OUT_TransportEnergyCons!$B$4:$B$10000)*1,ISNUMBER(SEARCH("T_B_u*ICE*nga*s3",[1]OUT_TransportEnergyCons!$A$4:$A$10000))*1,[1]OUT_TransportEnergyCons!G$4:G$10000))*1000</f>
        <v>0</v>
      </c>
      <c r="J2182" s="1" cm="1">
        <f t="array" ref="J2182">(SUMPRODUCT(("var_ncap"=[1]OUT_TransportEnergyCons!$B$4:$B$10000)*1,ISNUMBER(SEARCH("T_B_u*ICE*nga*s3",[1]OUT_TransportEnergyCons!$A$4:$A$10000))*1,[1]OUT_TransportEnergyCons!H$4:H$10000))*1000</f>
        <v>0</v>
      </c>
      <c r="K2182" s="1" cm="1">
        <f t="array" ref="K2182">(SUMPRODUCT(("var_ncap"=[1]OUT_TransportEnergyCons!$B$4:$B$10000)*1,ISNUMBER(SEARCH("T_B_u*ICE*nga*s3",[1]OUT_TransportEnergyCons!$A$4:$A$10000))*1,[1]OUT_TransportEnergyCons!I$4:I$10000))*1000</f>
        <v>0</v>
      </c>
    </row>
    <row r="2183" spans="2:11" x14ac:dyDescent="0.35">
      <c r="B2183" s="5" t="str">
        <f t="shared" si="1312"/>
        <v>SPS4</v>
      </c>
      <c r="C2183" s="5" t="str">
        <f t="shared" si="1310"/>
        <v>CH</v>
      </c>
      <c r="D2183" t="s">
        <v>2333</v>
      </c>
      <c r="E2183" t="s">
        <v>2000</v>
      </c>
      <c r="F2183" s="1" cm="1">
        <f t="array" ref="F2183">(SUMPRODUCT(("var_ncap"=[1]OUT_TransportEnergyCons!$B$4:$B$10000)*1,ISNUMBER(SEARCH("T_B_u*ICE*nga*s4",[1]OUT_TransportEnergyCons!$A$4:$A$10000))*1,[1]OUT_TransportEnergyCons!D$4:D$10000))*1000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(SUMPRODUCT(("var_ncap"=[1]OUT_TransportEnergyCons!$B$4:$B$10000)*1,ISNUMBER(SEARCH("T_B_u*ICE*nga*s4",[1]OUT_TransportEnergyCons!$A$4:$A$10000))*1,[1]OUT_TransportEnergyCons!E$4:E$10000))*1000</f>
        <v>0</v>
      </c>
      <c r="H2183" s="1" cm="1">
        <f t="array" ref="H2183">(SUMPRODUCT(("var_ncap"=[1]OUT_TransportEnergyCons!$B$4:$B$10000)*1,ISNUMBER(SEARCH("T_B_u*ICE*nga*s4",[1]OUT_TransportEnergyCons!$A$4:$A$10000))*1,[1]OUT_TransportEnergyCons!F$4:F$10000))*1000</f>
        <v>1.4991841790646799E-5</v>
      </c>
      <c r="I2183" s="1" cm="1">
        <f t="array" ref="I2183">(SUMPRODUCT(("var_ncap"=[1]OUT_TransportEnergyCons!$B$4:$B$10000)*1,ISNUMBER(SEARCH("T_B_u*ICE*nga*s4",[1]OUT_TransportEnergyCons!$A$4:$A$10000))*1,[1]OUT_TransportEnergyCons!G$4:G$10000))*1000</f>
        <v>0</v>
      </c>
      <c r="J2183" s="1" cm="1">
        <f t="array" ref="J2183">(SUMPRODUCT(("var_ncap"=[1]OUT_TransportEnergyCons!$B$4:$B$10000)*1,ISNUMBER(SEARCH("T_B_u*ICE*nga*s4",[1]OUT_TransportEnergyCons!$A$4:$A$10000))*1,[1]OUT_TransportEnergyCons!H$4:H$10000))*1000</f>
        <v>0</v>
      </c>
      <c r="K2183" s="1" cm="1">
        <f t="array" ref="K2183">(SUMPRODUCT(("var_ncap"=[1]OUT_TransportEnergyCons!$B$4:$B$10000)*1,ISNUMBER(SEARCH("T_B_u*ICE*nga*s4",[1]OUT_TransportEnergyCons!$A$4:$A$10000))*1,[1]OUT_TransportEnergyCons!I$4:I$10000))*1000</f>
        <v>0</v>
      </c>
    </row>
    <row r="2184" spans="2:11" x14ac:dyDescent="0.35">
      <c r="B2184" s="5" t="str">
        <f t="shared" si="1312"/>
        <v>SPS4</v>
      </c>
      <c r="C2184" s="5" t="str">
        <f t="shared" si="1310"/>
        <v>CH</v>
      </c>
      <c r="D2184" s="2" t="s">
        <v>2186</v>
      </c>
      <c r="E2184" s="2" t="s">
        <v>2000</v>
      </c>
      <c r="F2184" s="3">
        <f t="shared" ref="F2184:K2184" si="1313">SUM(F2185:F2207)</f>
        <v>0</v>
      </c>
      <c r="G2184" s="3">
        <f t="shared" si="1313"/>
        <v>0.50694468686441985</v>
      </c>
      <c r="H2184" s="3">
        <f t="shared" si="1313"/>
        <v>0.33546828607165224</v>
      </c>
      <c r="I2184" s="3">
        <f t="shared" si="1313"/>
        <v>2.7848358324808506</v>
      </c>
      <c r="J2184" s="3">
        <f t="shared" si="1313"/>
        <v>1.2052072594581982</v>
      </c>
      <c r="K2184" s="3">
        <f t="shared" si="1313"/>
        <v>2.0714769929797665</v>
      </c>
    </row>
    <row r="2185" spans="2:11" x14ac:dyDescent="0.35">
      <c r="B2185" s="5" t="str">
        <f t="shared" si="1312"/>
        <v>SPS4</v>
      </c>
      <c r="C2185" s="5" t="str">
        <f t="shared" si="1310"/>
        <v>CH</v>
      </c>
      <c r="D2185" t="s">
        <v>2334</v>
      </c>
      <c r="E2185" t="s">
        <v>2000</v>
      </c>
      <c r="F2185" s="1" cm="1">
        <f t="array" ref="F2185">(SUMPRODUCT(("var_ncap"=[1]OUT_TransportEnergyCons!$B$4:$B$10000)*1,ISNUMBER(SEARCH("T_b_c*bev*ext",[1]OUT_TransportEnergyCons!$A$4:$A$10000))*1,[1]OUT_TransportEnergyCons!D$4:D$10000))*1000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(SUMPRODUCT(("var_ncap"=[1]OUT_TransportEnergyCons!$B$4:$B$10000)*1,ISNUMBER(SEARCH("T_b_c*bev*ext",[1]OUT_TransportEnergyCons!$A$4:$A$10000))*1,[1]OUT_TransportEnergyCons!E$4:E$10000))*1000</f>
        <v>0</v>
      </c>
      <c r="H2185" s="1" cm="1">
        <f t="array" ref="H2185">(SUMPRODUCT(("var_ncap"=[1]OUT_TransportEnergyCons!$B$4:$B$10000)*1,ISNUMBER(SEARCH("T_b_c*bev*ext",[1]OUT_TransportEnergyCons!$A$4:$A$10000))*1,[1]OUT_TransportEnergyCons!F$4:F$10000))*1000</f>
        <v>0</v>
      </c>
      <c r="I2185" s="1" cm="1">
        <f t="array" ref="I2185">(SUMPRODUCT(("var_ncap"=[1]OUT_TransportEnergyCons!$B$4:$B$10000)*1,ISNUMBER(SEARCH("T_b_c*bev*ext",[1]OUT_TransportEnergyCons!$A$4:$A$10000))*1,[1]OUT_TransportEnergyCons!G$4:G$10000))*1000</f>
        <v>0</v>
      </c>
      <c r="J2185" s="1" cm="1">
        <f t="array" ref="J2185">(SUMPRODUCT(("var_ncap"=[1]OUT_TransportEnergyCons!$B$4:$B$10000)*1,ISNUMBER(SEARCH("T_b_c*bev*ext",[1]OUT_TransportEnergyCons!$A$4:$A$10000))*1,[1]OUT_TransportEnergyCons!H$4:H$10000))*1000</f>
        <v>0</v>
      </c>
      <c r="K2185" s="1" cm="1">
        <f t="array" ref="K2185">(SUMPRODUCT(("var_ncap"=[1]OUT_TransportEnergyCons!$B$4:$B$10000)*1,ISNUMBER(SEARCH("T_b_c*bev*ext",[1]OUT_TransportEnergyCons!$A$4:$A$10000))*1,[1]OUT_TransportEnergyCons!I$4:I$10000))*1000</f>
        <v>0</v>
      </c>
    </row>
    <row r="2186" spans="2:11" x14ac:dyDescent="0.35">
      <c r="B2186" s="5" t="str">
        <f t="shared" si="1312"/>
        <v>SPS4</v>
      </c>
      <c r="C2186" s="5" t="str">
        <f t="shared" si="1310"/>
        <v>CH</v>
      </c>
      <c r="D2186" t="s">
        <v>2335</v>
      </c>
      <c r="E2186" t="s">
        <v>2000</v>
      </c>
      <c r="F2186" s="1" cm="1">
        <f t="array" ref="F2186">(SUMPRODUCT(("var_ncap"=[1]OUT_TransportEnergyCons!$B$4:$B$10000)*1,ISNUMBER(SEARCH("T_b_c*bev*s1",[1]OUT_TransportEnergyCons!$A$4:$A$10000))*1,[1]OUT_TransportEnergyCons!D$4:D$10000))*1000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(SUMPRODUCT(("var_ncap"=[1]OUT_TransportEnergyCons!$B$4:$B$10000)*1,ISNUMBER(SEARCH("T_b_c*bev*s1",[1]OUT_TransportEnergyCons!$A$4:$A$10000))*1,[1]OUT_TransportEnergyCons!E$4:E$10000))*1000</f>
        <v>1.1905054104676301E-3</v>
      </c>
      <c r="H2186" s="1" cm="1">
        <f t="array" ref="H2186">(SUMPRODUCT(("var_ncap"=[1]OUT_TransportEnergyCons!$B$4:$B$10000)*1,ISNUMBER(SEARCH("T_b_c*bev*s1",[1]OUT_TransportEnergyCons!$A$4:$A$10000))*1,[1]OUT_TransportEnergyCons!F$4:F$10000))*1000</f>
        <v>2.6463087939720699E-3</v>
      </c>
      <c r="I2186" s="1" cm="1">
        <f t="array" ref="I2186">(SUMPRODUCT(("var_ncap"=[1]OUT_TransportEnergyCons!$B$4:$B$10000)*1,ISNUMBER(SEARCH("T_b_c*bev*s1",[1]OUT_TransportEnergyCons!$A$4:$A$10000))*1,[1]OUT_TransportEnergyCons!G$4:G$10000))*1000</f>
        <v>1.40269842085217</v>
      </c>
      <c r="J2186" s="1" cm="1">
        <f t="array" ref="J2186">(SUMPRODUCT(("var_ncap"=[1]OUT_TransportEnergyCons!$B$4:$B$10000)*1,ISNUMBER(SEARCH("T_b_c*bev*s1",[1]OUT_TransportEnergyCons!$A$4:$A$10000))*1,[1]OUT_TransportEnergyCons!H$4:H$10000))*1000</f>
        <v>2.00498245058695E-2</v>
      </c>
      <c r="K2186" s="1" cm="1">
        <f t="array" ref="K2186">(SUMPRODUCT(("var_ncap"=[1]OUT_TransportEnergyCons!$B$4:$B$10000)*1,ISNUMBER(SEARCH("T_b_c*bev*s1",[1]OUT_TransportEnergyCons!$A$4:$A$10000))*1,[1]OUT_TransportEnergyCons!I$4:I$10000))*1000</f>
        <v>1.1613704621412</v>
      </c>
    </row>
    <row r="2187" spans="2:11" x14ac:dyDescent="0.35">
      <c r="B2187" s="5" t="str">
        <f t="shared" si="1312"/>
        <v>SPS4</v>
      </c>
      <c r="C2187" s="5" t="str">
        <f t="shared" si="1310"/>
        <v>CH</v>
      </c>
      <c r="D2187" t="s">
        <v>2336</v>
      </c>
      <c r="E2187" t="s">
        <v>2000</v>
      </c>
      <c r="F2187" s="1" cm="1">
        <f t="array" ref="F2187">(SUMPRODUCT(("var_ncap"=[1]OUT_TransportEnergyCons!$B$4:$B$10000)*1,ISNUMBER(SEARCH("T_b_c*bev*s2",[1]OUT_TransportEnergyCons!$A$4:$A$10000))*1,[1]OUT_TransportEnergyCons!D$4:D$10000))*1000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(SUMPRODUCT(("var_ncap"=[1]OUT_TransportEnergyCons!$B$4:$B$10000)*1,ISNUMBER(SEARCH("T_b_c*bev*s2",[1]OUT_TransportEnergyCons!$A$4:$A$10000))*1,[1]OUT_TransportEnergyCons!E$4:E$10000))*1000</f>
        <v>6.2964492043931499E-4</v>
      </c>
      <c r="H2187" s="1" cm="1">
        <f t="array" ref="H2187">(SUMPRODUCT(("var_ncap"=[1]OUT_TransportEnergyCons!$B$4:$B$10000)*1,ISNUMBER(SEARCH("T_b_c*bev*s2",[1]OUT_TransportEnergyCons!$A$4:$A$10000))*1,[1]OUT_TransportEnergyCons!F$4:F$10000))*1000</f>
        <v>1.7045785914930498E-3</v>
      </c>
      <c r="I2187" s="1" cm="1">
        <f t="array" ref="I2187">(SUMPRODUCT(("var_ncap"=[1]OUT_TransportEnergyCons!$B$4:$B$10000)*1,ISNUMBER(SEARCH("T_b_c*bev*s2",[1]OUT_TransportEnergyCons!$A$4:$A$10000))*1,[1]OUT_TransportEnergyCons!G$4:G$10000))*1000</f>
        <v>0.48627864800816101</v>
      </c>
      <c r="J2187" s="1" cm="1">
        <f t="array" ref="J2187">(SUMPRODUCT(("var_ncap"=[1]OUT_TransportEnergyCons!$B$4:$B$10000)*1,ISNUMBER(SEARCH("T_b_c*bev*s2",[1]OUT_TransportEnergyCons!$A$4:$A$10000))*1,[1]OUT_TransportEnergyCons!H$4:H$10000))*1000</f>
        <v>0.39695675211472903</v>
      </c>
      <c r="K2187" s="1" cm="1">
        <f t="array" ref="K2187">(SUMPRODUCT(("var_ncap"=[1]OUT_TransportEnergyCons!$B$4:$B$10000)*1,ISNUMBER(SEARCH("T_b_c*bev*s2",[1]OUT_TransportEnergyCons!$A$4:$A$10000))*1,[1]OUT_TransportEnergyCons!I$4:I$10000))*1000</f>
        <v>0.28349708395828999</v>
      </c>
    </row>
    <row r="2188" spans="2:11" x14ac:dyDescent="0.35">
      <c r="B2188" s="5" t="str">
        <f t="shared" si="1312"/>
        <v>SPS4</v>
      </c>
      <c r="C2188" s="5" t="str">
        <f t="shared" si="1310"/>
        <v>CH</v>
      </c>
      <c r="D2188" t="s">
        <v>2337</v>
      </c>
      <c r="E2188" t="s">
        <v>2000</v>
      </c>
      <c r="F2188" s="1" cm="1">
        <f t="array" ref="F2188">(SUMPRODUCT(("var_ncap"=[1]OUT_TransportEnergyCons!$B$4:$B$10000)*1,ISNUMBER(SEARCH("T_b_c*bev*s3",[1]OUT_TransportEnergyCons!$A$4:$A$10000))*1,[1]OUT_TransportEnergyCons!D$4:D$10000))*1000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(SUMPRODUCT(("var_ncap"=[1]OUT_TransportEnergyCons!$B$4:$B$10000)*1,ISNUMBER(SEARCH("T_b_c*bev*s3",[1]OUT_TransportEnergyCons!$A$4:$A$10000))*1,[1]OUT_TransportEnergyCons!E$4:E$10000))*1000</f>
        <v>3.05106828132502E-4</v>
      </c>
      <c r="H2188" s="1" cm="1">
        <f t="array" ref="H2188">(SUMPRODUCT(("var_ncap"=[1]OUT_TransportEnergyCons!$B$4:$B$10000)*1,ISNUMBER(SEARCH("T_b_c*bev*s3",[1]OUT_TransportEnergyCons!$A$4:$A$10000))*1,[1]OUT_TransportEnergyCons!F$4:F$10000))*1000</f>
        <v>4.7295787891516599E-4</v>
      </c>
      <c r="I2188" s="1" cm="1">
        <f t="array" ref="I2188">(SUMPRODUCT(("var_ncap"=[1]OUT_TransportEnergyCons!$B$4:$B$10000)*1,ISNUMBER(SEARCH("T_b_c*bev*s3",[1]OUT_TransportEnergyCons!$A$4:$A$10000))*1,[1]OUT_TransportEnergyCons!G$4:G$10000))*1000</f>
        <v>1.7298467427235801E-3</v>
      </c>
      <c r="J2188" s="1" cm="1">
        <f t="array" ref="J2188">(SUMPRODUCT(("var_ncap"=[1]OUT_TransportEnergyCons!$B$4:$B$10000)*1,ISNUMBER(SEARCH("T_b_c*bev*s3",[1]OUT_TransportEnergyCons!$A$4:$A$10000))*1,[1]OUT_TransportEnergyCons!H$4:H$10000))*1000</f>
        <v>4.8586661330044401E-3</v>
      </c>
      <c r="K2188" s="1" cm="1">
        <f t="array" ref="K2188">(SUMPRODUCT(("var_ncap"=[1]OUT_TransportEnergyCons!$B$4:$B$10000)*1,ISNUMBER(SEARCH("T_b_c*bev*s3",[1]OUT_TransportEnergyCons!$A$4:$A$10000))*1,[1]OUT_TransportEnergyCons!I$4:I$10000))*1000</f>
        <v>3.0492413848952097E-3</v>
      </c>
    </row>
    <row r="2189" spans="2:11" x14ac:dyDescent="0.35">
      <c r="B2189" s="5" t="str">
        <f t="shared" si="1312"/>
        <v>SPS4</v>
      </c>
      <c r="C2189" s="5" t="str">
        <f t="shared" si="1310"/>
        <v>CH</v>
      </c>
      <c r="D2189" t="s">
        <v>2338</v>
      </c>
      <c r="E2189" t="s">
        <v>2000</v>
      </c>
      <c r="F2189" s="1" cm="1">
        <f t="array" ref="F2189">(SUMPRODUCT(("var_ncap"=[1]OUT_TransportEnergyCons!$B$4:$B$10000)*1,ISNUMBER(SEARCH("T_b_c*bev*s4",[1]OUT_TransportEnergyCons!$A$4:$A$10000))*1,[1]OUT_TransportEnergyCons!D$4:D$10000))*1000</f>
        <v>0</v>
      </c>
      <c r="G2189" s="1" cm="1">
        <f t="array" ref="G2189">(SUMPRODUCT(("var_ncap"=[1]OUT_TransportEnergyCons!$B$4:$B$10000)*1,ISNUMBER(SEARCH("T_b_c*bev*s4",[1]OUT_TransportEnergyCons!$A$4:$A$10000))*1,[1]OUT_TransportEnergyCons!E$4:E$10000))*1000</f>
        <v>1.6464731275327399E-4</v>
      </c>
      <c r="H2189" s="1" cm="1">
        <f t="array" ref="H2189">(SUMPRODUCT(("var_ncap"=[1]OUT_TransportEnergyCons!$B$4:$B$10000)*1,ISNUMBER(SEARCH("T_b_c*bev*s4",[1]OUT_TransportEnergyCons!$A$4:$A$10000))*1,[1]OUT_TransportEnergyCons!F$4:F$10000))*1000</f>
        <v>1.5900765643991999E-4</v>
      </c>
      <c r="I2189" s="1" cm="1">
        <f t="array" ref="I2189">(SUMPRODUCT(("var_ncap"=[1]OUT_TransportEnergyCons!$B$4:$B$10000)*1,ISNUMBER(SEARCH("T_b_c*bev*s4",[1]OUT_TransportEnergyCons!$A$4:$A$10000))*1,[1]OUT_TransportEnergyCons!G$4:G$10000))*1000</f>
        <v>2.0085623558279499E-4</v>
      </c>
      <c r="J2189" s="1" cm="1">
        <f t="array" ref="J2189">(SUMPRODUCT(("var_ncap"=[1]OUT_TransportEnergyCons!$B$4:$B$10000)*1,ISNUMBER(SEARCH("T_b_c*bev*s4",[1]OUT_TransportEnergyCons!$A$4:$A$10000))*1,[1]OUT_TransportEnergyCons!H$4:H$10000))*1000</f>
        <v>3.3832734096862099E-4</v>
      </c>
      <c r="K2189" s="1" cm="1">
        <f t="array" ref="K2189">(SUMPRODUCT(("var_ncap"=[1]OUT_TransportEnergyCons!$B$4:$B$10000)*1,ISNUMBER(SEARCH("T_b_c*bev*s4",[1]OUT_TransportEnergyCons!$A$4:$A$10000))*1,[1]OUT_TransportEnergyCons!I$4:I$10000))*1000</f>
        <v>1.3989113725279098E-4</v>
      </c>
    </row>
    <row r="2190" spans="2:11" x14ac:dyDescent="0.35">
      <c r="B2190" s="5" t="str">
        <f t="shared" si="1312"/>
        <v>SPS4</v>
      </c>
      <c r="C2190" s="5" t="str">
        <f t="shared" si="1310"/>
        <v>CH</v>
      </c>
      <c r="D2190" t="s">
        <v>2339</v>
      </c>
      <c r="E2190" t="s">
        <v>2000</v>
      </c>
      <c r="F2190" s="1" cm="1">
        <f t="array" ref="F2190">(SUMPRODUCT(("var_ncap"=[1]OUT_TransportEnergyCons!$B$4:$B$10000)*1,ISNUMBER(SEARCH("T_b_c*h2o*s1",[1]OUT_TransportEnergyCons!$A$4:$A$10000))*1,[1]OUT_TransportEnergyCons!D$4:D$10000))*1000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(SUMPRODUCT(("var_ncap"=[1]OUT_TransportEnergyCons!$B$4:$B$10000)*1,ISNUMBER(SEARCH("T_b_c*h2o*s1",[1]OUT_TransportEnergyCons!$A$4:$A$10000))*1,[1]OUT_TransportEnergyCons!E$4:E$10000))*1000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(SUMPRODUCT(("var_ncap"=[1]OUT_TransportEnergyCons!$B$4:$B$10000)*1,ISNUMBER(SEARCH("T_b_c*h2o*s1",[1]OUT_TransportEnergyCons!$A$4:$A$10000))*1,[1]OUT_TransportEnergyCons!F$4:F$10000))*1000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(SUMPRODUCT(("var_ncap"=[1]OUT_TransportEnergyCons!$B$4:$B$10000)*1,ISNUMBER(SEARCH("T_b_c*h2o*s1",[1]OUT_TransportEnergyCons!$A$4:$A$10000))*1,[1]OUT_TransportEnergyCons!G$4:G$10000))*1000</f>
        <v>2.5117555304292001E-5</v>
      </c>
      <c r="J2190" s="1" cm="1">
        <f t="array" ref="J2190">(SUMPRODUCT(("var_ncap"=[1]OUT_TransportEnergyCons!$B$4:$B$10000)*1,ISNUMBER(SEARCH("T_b_c*h2o*s1",[1]OUT_TransportEnergyCons!$A$4:$A$10000))*1,[1]OUT_TransportEnergyCons!H$4:H$10000))*1000</f>
        <v>0</v>
      </c>
      <c r="K2190" s="1" cm="1">
        <f t="array" ref="K2190">(SUMPRODUCT(("var_ncap"=[1]OUT_TransportEnergyCons!$B$4:$B$10000)*1,ISNUMBER(SEARCH("T_b_c*h2o*s1",[1]OUT_TransportEnergyCons!$A$4:$A$10000))*1,[1]OUT_TransportEnergyCons!I$4:I$10000))*1000</f>
        <v>0</v>
      </c>
    </row>
    <row r="2191" spans="2:11" x14ac:dyDescent="0.35">
      <c r="B2191" s="5" t="str">
        <f t="shared" si="1312"/>
        <v>SPS4</v>
      </c>
      <c r="C2191" s="5" t="str">
        <f t="shared" si="1310"/>
        <v>CH</v>
      </c>
      <c r="D2191" t="s">
        <v>2340</v>
      </c>
      <c r="E2191" t="s">
        <v>2000</v>
      </c>
      <c r="F2191" s="1" cm="1">
        <f t="array" ref="F2191">(SUMPRODUCT(("var_ncap"=[1]OUT_TransportEnergyCons!$B$4:$B$10000)*1,ISNUMBER(SEARCH("T_b_c*h2o*s2",[1]OUT_TransportEnergyCons!$A$4:$A$10000))*1,[1]OUT_TransportEnergyCons!D$4:D$10000))*1000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(SUMPRODUCT(("var_ncap"=[1]OUT_TransportEnergyCons!$B$4:$B$10000)*1,ISNUMBER(SEARCH("T_b_c*h2o*s2",[1]OUT_TransportEnergyCons!$A$4:$A$10000))*1,[1]OUT_TransportEnergyCons!E$4:E$10000))*1000</f>
        <v>0</v>
      </c>
      <c r="H2191" s="1" cm="1">
        <f t="array" ref="H2191">(SUMPRODUCT(("var_ncap"=[1]OUT_TransportEnergyCons!$B$4:$B$10000)*1,ISNUMBER(SEARCH("T_b_c*h2o*s2",[1]OUT_TransportEnergyCons!$A$4:$A$10000))*1,[1]OUT_TransportEnergyCons!F$4:F$10000))*1000</f>
        <v>0</v>
      </c>
      <c r="I2191" s="1" cm="1">
        <f t="array" ref="I2191">(SUMPRODUCT(("var_ncap"=[1]OUT_TransportEnergyCons!$B$4:$B$10000)*1,ISNUMBER(SEARCH("T_b_c*h2o*s2",[1]OUT_TransportEnergyCons!$A$4:$A$10000))*1,[1]OUT_TransportEnergyCons!G$4:G$10000))*1000</f>
        <v>2.7147711632061201E-5</v>
      </c>
      <c r="J2191" s="1" cm="1">
        <f t="array" ref="J2191">(SUMPRODUCT(("var_ncap"=[1]OUT_TransportEnergyCons!$B$4:$B$10000)*1,ISNUMBER(SEARCH("T_b_c*h2o*s2",[1]OUT_TransportEnergyCons!$A$4:$A$10000))*1,[1]OUT_TransportEnergyCons!H$4:H$10000))*1000</f>
        <v>0</v>
      </c>
      <c r="K2191" s="1" cm="1">
        <f t="array" ref="K2191">(SUMPRODUCT(("var_ncap"=[1]OUT_TransportEnergyCons!$B$4:$B$10000)*1,ISNUMBER(SEARCH("T_b_c*h2o*s2",[1]OUT_TransportEnergyCons!$A$4:$A$10000))*1,[1]OUT_TransportEnergyCons!I$4:I$10000))*1000</f>
        <v>0</v>
      </c>
    </row>
    <row r="2192" spans="2:11" x14ac:dyDescent="0.35">
      <c r="B2192" s="5" t="str">
        <f t="shared" si="1312"/>
        <v>SPS4</v>
      </c>
      <c r="C2192" s="5" t="str">
        <f t="shared" si="1310"/>
        <v>CH</v>
      </c>
      <c r="D2192" t="s">
        <v>2341</v>
      </c>
      <c r="E2192" t="s">
        <v>2000</v>
      </c>
      <c r="F2192" s="1" cm="1">
        <f t="array" ref="F2192">(SUMPRODUCT(("var_ncap"=[1]OUT_TransportEnergyCons!$B$4:$B$10000)*1,ISNUMBER(SEARCH("T_b_c*h2o*s3",[1]OUT_TransportEnergyCons!$A$4:$A$10000))*1,[1]OUT_TransportEnergyCons!D$4:D$10000))*1000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(SUMPRODUCT(("var_ncap"=[1]OUT_TransportEnergyCons!$B$4:$B$10000)*1,ISNUMBER(SEARCH("T_b_c*h2o*s3",[1]OUT_TransportEnergyCons!$A$4:$A$10000))*1,[1]OUT_TransportEnergyCons!E$4:E$10000))*1000</f>
        <v>0</v>
      </c>
      <c r="H2192" s="1" cm="1">
        <f t="array" ref="H2192">(SUMPRODUCT(("var_ncap"=[1]OUT_TransportEnergyCons!$B$4:$B$10000)*1,ISNUMBER(SEARCH("T_b_c*h2o*s3",[1]OUT_TransportEnergyCons!$A$4:$A$10000))*1,[1]OUT_TransportEnergyCons!F$4:F$10000))*1000</f>
        <v>0</v>
      </c>
      <c r="I2192" s="1" cm="1">
        <f t="array" ref="I2192">(SUMPRODUCT(("var_ncap"=[1]OUT_TransportEnergyCons!$B$4:$B$10000)*1,ISNUMBER(SEARCH("T_b_c*h2o*s3",[1]OUT_TransportEnergyCons!$A$4:$A$10000))*1,[1]OUT_TransportEnergyCons!G$4:G$10000))*1000</f>
        <v>2.7469428018665799E-5</v>
      </c>
      <c r="J2192" s="1" cm="1">
        <f t="array" ref="J2192">(SUMPRODUCT(("var_ncap"=[1]OUT_TransportEnergyCons!$B$4:$B$10000)*1,ISNUMBER(SEARCH("T_b_c*h2o*s3",[1]OUT_TransportEnergyCons!$A$4:$A$10000))*1,[1]OUT_TransportEnergyCons!H$4:H$10000))*1000</f>
        <v>1.2805766062187399E-5</v>
      </c>
      <c r="K2192" s="1" cm="1">
        <f t="array" ref="K2192">(SUMPRODUCT(("var_ncap"=[1]OUT_TransportEnergyCons!$B$4:$B$10000)*1,ISNUMBER(SEARCH("T_b_c*h2o*s3",[1]OUT_TransportEnergyCons!$A$4:$A$10000))*1,[1]OUT_TransportEnergyCons!I$4:I$10000))*1000</f>
        <v>0</v>
      </c>
    </row>
    <row r="2193" spans="2:11" x14ac:dyDescent="0.35">
      <c r="B2193" s="5" t="str">
        <f t="shared" si="1312"/>
        <v>SPS4</v>
      </c>
      <c r="C2193" s="5" t="str">
        <f t="shared" si="1310"/>
        <v>CH</v>
      </c>
      <c r="D2193" t="s">
        <v>2342</v>
      </c>
      <c r="E2193" t="s">
        <v>2000</v>
      </c>
      <c r="F2193" s="1" cm="1">
        <f t="array" ref="F2193">(SUMPRODUCT(("var_ncap"=[1]OUT_TransportEnergyCons!$B$4:$B$10000)*1,ISNUMBER(SEARCH("T_b_c*h2o*s4",[1]OUT_TransportEnergyCons!$A$4:$A$10000))*1,[1]OUT_TransportEnergyCons!D$4:D$10000))*1000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(SUMPRODUCT(("var_ncap"=[1]OUT_TransportEnergyCons!$B$4:$B$10000)*1,ISNUMBER(SEARCH("T_b_c*h2o*s4",[1]OUT_TransportEnergyCons!$A$4:$A$10000))*1,[1]OUT_TransportEnergyCons!E$4:E$10000))*1000</f>
        <v>0</v>
      </c>
      <c r="H2193" s="1" cm="1">
        <f t="array" ref="H2193">(SUMPRODUCT(("var_ncap"=[1]OUT_TransportEnergyCons!$B$4:$B$10000)*1,ISNUMBER(SEARCH("T_b_c*h2o*s4",[1]OUT_TransportEnergyCons!$A$4:$A$10000))*1,[1]OUT_TransportEnergyCons!F$4:F$10000))*1000</f>
        <v>0</v>
      </c>
      <c r="I2193" s="1" cm="1">
        <f t="array" ref="I2193">(SUMPRODUCT(("var_ncap"=[1]OUT_TransportEnergyCons!$B$4:$B$10000)*1,ISNUMBER(SEARCH("T_b_c*h2o*s4",[1]OUT_TransportEnergyCons!$A$4:$A$10000))*1,[1]OUT_TransportEnergyCons!G$4:G$10000))*1000</f>
        <v>0</v>
      </c>
      <c r="J2193" s="1" cm="1">
        <f t="array" ref="J2193">(SUMPRODUCT(("var_ncap"=[1]OUT_TransportEnergyCons!$B$4:$B$10000)*1,ISNUMBER(SEARCH("T_b_c*h2o*s4",[1]OUT_TransportEnergyCons!$A$4:$A$10000))*1,[1]OUT_TransportEnergyCons!H$4:H$10000))*1000</f>
        <v>0</v>
      </c>
      <c r="K2193" s="1" cm="1">
        <f t="array" ref="K2193">(SUMPRODUCT(("var_ncap"=[1]OUT_TransportEnergyCons!$B$4:$B$10000)*1,ISNUMBER(SEARCH("T_b_c*h2o*s4",[1]OUT_TransportEnergyCons!$A$4:$A$10000))*1,[1]OUT_TransportEnergyCons!I$4:I$10000))*1000</f>
        <v>0</v>
      </c>
    </row>
    <row r="2194" spans="2:11" x14ac:dyDescent="0.35">
      <c r="B2194" s="5" t="str">
        <f t="shared" si="1312"/>
        <v>SPS4</v>
      </c>
      <c r="C2194" s="5" t="str">
        <f t="shared" si="1310"/>
        <v>CH</v>
      </c>
      <c r="D2194" t="s">
        <v>2343</v>
      </c>
      <c r="E2194" t="s">
        <v>2000</v>
      </c>
      <c r="F2194" s="1" cm="1">
        <f t="array" ref="F2194">(SUMPRODUCT(("var_ncap"=[1]OUT_TransportEnergyCons!$B$4:$B$10000)*1,ISNUMBER(SEARCH("T_b_c*hyb*DSL*s1",[1]OUT_TransportEnergyCons!$A$4:$A$10000))*1,[1]OUT_TransportEnergyCons!D$4:D$10000))*1000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(SUMPRODUCT(("var_ncap"=[1]OUT_TransportEnergyCons!$B$4:$B$10000)*1,ISNUMBER(SEARCH("T_b_c*hyb*DSL*s1",[1]OUT_TransportEnergyCons!$A$4:$A$10000))*1,[1]OUT_TransportEnergyCons!E$4:E$10000))*1000</f>
        <v>5.0138656197626693E-3</v>
      </c>
      <c r="H2194" s="1" cm="1">
        <f t="array" ref="H2194">(SUMPRODUCT(("var_ncap"=[1]OUT_TransportEnergyCons!$B$4:$B$10000)*1,ISNUMBER(SEARCH("T_b_c*hyb*DSL*s1",[1]OUT_TransportEnergyCons!$A$4:$A$10000))*1,[1]OUT_TransportEnergyCons!F$4:F$10000))*1000</f>
        <v>1.76674903662399E-3</v>
      </c>
      <c r="I2194" s="1" cm="1">
        <f t="array" ref="I2194">(SUMPRODUCT(("var_ncap"=[1]OUT_TransportEnergyCons!$B$4:$B$10000)*1,ISNUMBER(SEARCH("T_b_c*hyb*DSL*s1",[1]OUT_TransportEnergyCons!$A$4:$A$10000))*1,[1]OUT_TransportEnergyCons!G$4:G$10000))*1000</f>
        <v>1.9249212926405002E-3</v>
      </c>
      <c r="J2194" s="1" cm="1">
        <f t="array" ref="J2194">(SUMPRODUCT(("var_ncap"=[1]OUT_TransportEnergyCons!$B$4:$B$10000)*1,ISNUMBER(SEARCH("T_b_c*hyb*DSL*s1",[1]OUT_TransportEnergyCons!$A$4:$A$10000))*1,[1]OUT_TransportEnergyCons!H$4:H$10000))*1000</f>
        <v>4.2413833538993201E-3</v>
      </c>
      <c r="K2194" s="1" cm="1">
        <f t="array" ref="K2194">(SUMPRODUCT(("var_ncap"=[1]OUT_TransportEnergyCons!$B$4:$B$10000)*1,ISNUMBER(SEARCH("T_b_c*hyb*DSL*s1",[1]OUT_TransportEnergyCons!$A$4:$A$10000))*1,[1]OUT_TransportEnergyCons!I$4:I$10000))*1000</f>
        <v>4.9490554142457704E-3</v>
      </c>
    </row>
    <row r="2195" spans="2:11" x14ac:dyDescent="0.35">
      <c r="B2195" s="5" t="str">
        <f t="shared" si="1312"/>
        <v>SPS4</v>
      </c>
      <c r="C2195" s="5" t="str">
        <f t="shared" si="1310"/>
        <v>CH</v>
      </c>
      <c r="D2195" t="s">
        <v>2344</v>
      </c>
      <c r="E2195" t="s">
        <v>2000</v>
      </c>
      <c r="F2195" s="1" cm="1">
        <f t="array" ref="F2195">(SUMPRODUCT(("var_ncap"=[1]OUT_TransportEnergyCons!$B$4:$B$10000)*1,ISNUMBER(SEARCH("T_b_c*hyb*DSL*s2",[1]OUT_TransportEnergyCons!$A$4:$A$10000))*1,[1]OUT_TransportEnergyCons!D$4:D$10000))*1000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(SUMPRODUCT(("var_ncap"=[1]OUT_TransportEnergyCons!$B$4:$B$10000)*1,ISNUMBER(SEARCH("T_b_c*hyb*DSL*s2",[1]OUT_TransportEnergyCons!$A$4:$A$10000))*1,[1]OUT_TransportEnergyCons!E$4:E$10000))*1000</f>
        <v>9.8797180481737098E-4</v>
      </c>
      <c r="H2195" s="1" cm="1">
        <f t="array" ref="H2195">(SUMPRODUCT(("var_ncap"=[1]OUT_TransportEnergyCons!$B$4:$B$10000)*1,ISNUMBER(SEARCH("T_b_c*hyb*DSL*s2",[1]OUT_TransportEnergyCons!$A$4:$A$10000))*1,[1]OUT_TransportEnergyCons!F$4:F$10000))*1000</f>
        <v>0.12186830169684901</v>
      </c>
      <c r="I2195" s="1" cm="1">
        <f t="array" ref="I2195">(SUMPRODUCT(("var_ncap"=[1]OUT_TransportEnergyCons!$B$4:$B$10000)*1,ISNUMBER(SEARCH("T_b_c*hyb*DSL*s2",[1]OUT_TransportEnergyCons!$A$4:$A$10000))*1,[1]OUT_TransportEnergyCons!G$4:G$10000))*1000</f>
        <v>0.63376653456126197</v>
      </c>
      <c r="J2195" s="1" cm="1">
        <f t="array" ref="J2195">(SUMPRODUCT(("var_ncap"=[1]OUT_TransportEnergyCons!$B$4:$B$10000)*1,ISNUMBER(SEARCH("T_b_c*hyb*DSL*s2",[1]OUT_TransportEnergyCons!$A$4:$A$10000))*1,[1]OUT_TransportEnergyCons!H$4:H$10000))*1000</f>
        <v>0.58617202354004105</v>
      </c>
      <c r="K2195" s="1" cm="1">
        <f t="array" ref="K2195">(SUMPRODUCT(("var_ncap"=[1]OUT_TransportEnergyCons!$B$4:$B$10000)*1,ISNUMBER(SEARCH("T_b_c*hyb*DSL*s2",[1]OUT_TransportEnergyCons!$A$4:$A$10000))*1,[1]OUT_TransportEnergyCons!I$4:I$10000))*1000</f>
        <v>0.42872021719323</v>
      </c>
    </row>
    <row r="2196" spans="2:11" x14ac:dyDescent="0.35">
      <c r="B2196" s="5" t="str">
        <f t="shared" si="1312"/>
        <v>SPS4</v>
      </c>
      <c r="C2196" s="5" t="str">
        <f t="shared" si="1310"/>
        <v>CH</v>
      </c>
      <c r="D2196" t="s">
        <v>2345</v>
      </c>
      <c r="E2196" t="s">
        <v>2000</v>
      </c>
      <c r="F2196" s="1" cm="1">
        <f t="array" ref="F2196">(SUMPRODUCT(("var_ncap"=[1]OUT_TransportEnergyCons!$B$4:$B$10000)*1,ISNUMBER(SEARCH("T_b_c*hyb*DSL*s3",[1]OUT_TransportEnergyCons!$A$4:$A$10000))*1,[1]OUT_TransportEnergyCons!D$4:D$10000))*1000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(SUMPRODUCT(("var_ncap"=[1]OUT_TransportEnergyCons!$B$4:$B$10000)*1,ISNUMBER(SEARCH("T_b_c*hyb*DSL*s3",[1]OUT_TransportEnergyCons!$A$4:$A$10000))*1,[1]OUT_TransportEnergyCons!E$4:E$10000))*1000</f>
        <v>4.1367476506027002E-4</v>
      </c>
      <c r="H2196" s="1" cm="1">
        <f t="array" ref="H2196">(SUMPRODUCT(("var_ncap"=[1]OUT_TransportEnergyCons!$B$4:$B$10000)*1,ISNUMBER(SEARCH("T_b_c*hyb*DSL*s3",[1]OUT_TransportEnergyCons!$A$4:$A$10000))*1,[1]OUT_TransportEnergyCons!F$4:F$10000))*1000</f>
        <v>5.3300677335782198E-3</v>
      </c>
      <c r="I2196" s="1" cm="1">
        <f t="array" ref="I2196">(SUMPRODUCT(("var_ncap"=[1]OUT_TransportEnergyCons!$B$4:$B$10000)*1,ISNUMBER(SEARCH("T_b_c*hyb*DSL*s3",[1]OUT_TransportEnergyCons!$A$4:$A$10000))*1,[1]OUT_TransportEnergyCons!G$4:G$10000))*1000</f>
        <v>0.25812581952493302</v>
      </c>
      <c r="J2196" s="1" cm="1">
        <f t="array" ref="J2196">(SUMPRODUCT(("var_ncap"=[1]OUT_TransportEnergyCons!$B$4:$B$10000)*1,ISNUMBER(SEARCH("T_b_c*hyb*DSL*s3",[1]OUT_TransportEnergyCons!$A$4:$A$10000))*1,[1]OUT_TransportEnergyCons!H$4:H$10000))*1000</f>
        <v>0.19251365002269399</v>
      </c>
      <c r="K2196" s="1" cm="1">
        <f t="array" ref="K2196">(SUMPRODUCT(("var_ncap"=[1]OUT_TransportEnergyCons!$B$4:$B$10000)*1,ISNUMBER(SEARCH("T_b_c*hyb*DSL*s3",[1]OUT_TransportEnergyCons!$A$4:$A$10000))*1,[1]OUT_TransportEnergyCons!I$4:I$10000))*1000</f>
        <v>0.18973267830128801</v>
      </c>
    </row>
    <row r="2197" spans="2:11" x14ac:dyDescent="0.35">
      <c r="B2197" s="5" t="str">
        <f t="shared" si="1312"/>
        <v>SPS4</v>
      </c>
      <c r="C2197" s="5" t="str">
        <f t="shared" si="1310"/>
        <v>CH</v>
      </c>
      <c r="D2197" t="s">
        <v>2346</v>
      </c>
      <c r="E2197" t="s">
        <v>2000</v>
      </c>
      <c r="F2197" s="1" cm="1">
        <f t="array" ref="F2197">(SUMPRODUCT(("var_ncap"=[1]OUT_TransportEnergyCons!$B$4:$B$10000)*1,ISNUMBER(SEARCH("T_b_c*hyb*DSL*s4",[1]OUT_TransportEnergyCons!$A$4:$A$10000))*1,[1]OUT_TransportEnergyCons!D$4:D$10000))*1000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(SUMPRODUCT(("var_ncap"=[1]OUT_TransportEnergyCons!$B$4:$B$10000)*1,ISNUMBER(SEARCH("T_b_c*hyb*DSL*s4",[1]OUT_TransportEnergyCons!$A$4:$A$10000))*1,[1]OUT_TransportEnergyCons!E$4:E$10000))*1000</f>
        <v>4.0746317247256303E-5</v>
      </c>
      <c r="H2197" s="1" cm="1">
        <f t="array" ref="H2197">(SUMPRODUCT(("var_ncap"=[1]OUT_TransportEnergyCons!$B$4:$B$10000)*1,ISNUMBER(SEARCH("T_b_c*hyb*DSL*s4",[1]OUT_TransportEnergyCons!$A$4:$A$10000))*1,[1]OUT_TransportEnergyCons!F$4:F$10000))*1000</f>
        <v>3.6392035267731498E-5</v>
      </c>
      <c r="I2197" s="1" cm="1">
        <f t="array" ref="I2197">(SUMPRODUCT(("var_ncap"=[1]OUT_TransportEnergyCons!$B$4:$B$10000)*1,ISNUMBER(SEARCH("T_b_c*hyb*DSL*s4",[1]OUT_TransportEnergyCons!$A$4:$A$10000))*1,[1]OUT_TransportEnergyCons!G$4:G$10000))*1000</f>
        <v>3.1050568423207499E-5</v>
      </c>
      <c r="J2197" s="1" cm="1">
        <f t="array" ref="J2197">(SUMPRODUCT(("var_ncap"=[1]OUT_TransportEnergyCons!$B$4:$B$10000)*1,ISNUMBER(SEARCH("T_b_c*hyb*DSL*s4",[1]OUT_TransportEnergyCons!$A$4:$A$10000))*1,[1]OUT_TransportEnergyCons!H$4:H$10000))*1000</f>
        <v>5.24400941940698E-5</v>
      </c>
      <c r="K2197" s="1" cm="1">
        <f t="array" ref="K2197">(SUMPRODUCT(("var_ncap"=[1]OUT_TransportEnergyCons!$B$4:$B$10000)*1,ISNUMBER(SEARCH("T_b_c*hyb*DSL*s4",[1]OUT_TransportEnergyCons!$A$4:$A$10000))*1,[1]OUT_TransportEnergyCons!I$4:I$10000))*1000</f>
        <v>1.8363449364632398E-5</v>
      </c>
    </row>
    <row r="2198" spans="2:11" x14ac:dyDescent="0.35">
      <c r="B2198" s="5" t="str">
        <f t="shared" si="1312"/>
        <v>SPS4</v>
      </c>
      <c r="C2198" s="5" t="str">
        <f t="shared" si="1310"/>
        <v>CH</v>
      </c>
      <c r="D2198" t="s">
        <v>2347</v>
      </c>
      <c r="E2198" t="s">
        <v>2000</v>
      </c>
      <c r="F2198" s="1" cm="1">
        <f t="array" ref="F2198">(SUMPRODUCT(("var_ncap"=[1]OUT_TransportEnergyCons!$B$4:$B$10000)*1,ISNUMBER(SEARCH("T_b_c*ICE*DSL*ext",[1]OUT_TransportEnergyCons!$A$4:$A$10000))*1,[1]OUT_TransportEnergyCons!D$4:D$10000))*1000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(SUMPRODUCT(("var_ncap"=[1]OUT_TransportEnergyCons!$B$4:$B$10000)*1,ISNUMBER(SEARCH("T_b_c*ICE*DSL*ext",[1]OUT_TransportEnergyCons!$A$4:$A$10000))*1,[1]OUT_TransportEnergyCons!E$4:E$10000))*1000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(SUMPRODUCT(("var_ncap"=[1]OUT_TransportEnergyCons!$B$4:$B$10000)*1,ISNUMBER(SEARCH("T_b_c*ICE*DSL*ext",[1]OUT_TransportEnergyCons!$A$4:$A$10000))*1,[1]OUT_TransportEnergyCons!F$4:F$10000))*1000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(SUMPRODUCT(("var_ncap"=[1]OUT_TransportEnergyCons!$B$4:$B$10000)*1,ISNUMBER(SEARCH("T_b_c*ICE*DSL*ext",[1]OUT_TransportEnergyCons!$A$4:$A$10000))*1,[1]OUT_TransportEnergyCons!G$4:G$10000))*1000</f>
        <v>0</v>
      </c>
      <c r="J2198" s="1" cm="1">
        <f t="array" ref="J2198">(SUMPRODUCT(("var_ncap"=[1]OUT_TransportEnergyCons!$B$4:$B$10000)*1,ISNUMBER(SEARCH("T_b_c*ICE*DSL*ext",[1]OUT_TransportEnergyCons!$A$4:$A$10000))*1,[1]OUT_TransportEnergyCons!H$4:H$10000))*1000</f>
        <v>0</v>
      </c>
      <c r="K2198" s="1" cm="1">
        <f t="array" ref="K2198">(SUMPRODUCT(("var_ncap"=[1]OUT_TransportEnergyCons!$B$4:$B$10000)*1,ISNUMBER(SEARCH("T_b_c*ICE*DSL*ext",[1]OUT_TransportEnergyCons!$A$4:$A$10000))*1,[1]OUT_TransportEnergyCons!I$4:I$10000))*1000</f>
        <v>0</v>
      </c>
    </row>
    <row r="2199" spans="2:11" x14ac:dyDescent="0.35">
      <c r="B2199" s="5" t="str">
        <f t="shared" si="1312"/>
        <v>SPS4</v>
      </c>
      <c r="C2199" s="5" t="str">
        <f t="shared" si="1310"/>
        <v>CH</v>
      </c>
      <c r="D2199" t="s">
        <v>2348</v>
      </c>
      <c r="E2199" t="s">
        <v>2000</v>
      </c>
      <c r="F2199" s="1" cm="1">
        <f t="array" ref="F2199">(SUMPRODUCT(("var_ncap"=[1]OUT_TransportEnergyCons!$B$4:$B$10000)*1,ISNUMBER(SEARCH("T_b_c*ICE*DSL*s1",[1]OUT_TransportEnergyCons!$A$4:$A$10000))*1,[1]OUT_TransportEnergyCons!D$4:D$10000))*1000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(SUMPRODUCT(("var_ncap"=[1]OUT_TransportEnergyCons!$B$4:$B$10000)*1,ISNUMBER(SEARCH("T_b_c*ICE*DSL*s1",[1]OUT_TransportEnergyCons!$A$4:$A$10000))*1,[1]OUT_TransportEnergyCons!E$4:E$10000))*1000</f>
        <v>0.49653711769715198</v>
      </c>
      <c r="H2199" s="1" cm="1">
        <f t="array" ref="H2199">(SUMPRODUCT(("var_ncap"=[1]OUT_TransportEnergyCons!$B$4:$B$10000)*1,ISNUMBER(SEARCH("T_b_c*ICE*DSL*s1",[1]OUT_TransportEnergyCons!$A$4:$A$10000))*1,[1]OUT_TransportEnergyCons!F$4:F$10000))*1000</f>
        <v>0.19762150896085098</v>
      </c>
      <c r="I2199" s="1" cm="1">
        <f t="array" ref="I2199">(SUMPRODUCT(("var_ncap"=[1]OUT_TransportEnergyCons!$B$4:$B$10000)*1,ISNUMBER(SEARCH("T_b_c*ICE*DSL*s1",[1]OUT_TransportEnergyCons!$A$4:$A$10000))*1,[1]OUT_TransportEnergyCons!G$4:G$10000))*1000</f>
        <v>0</v>
      </c>
      <c r="J2199" s="1" cm="1">
        <f t="array" ref="J2199">(SUMPRODUCT(("var_ncap"=[1]OUT_TransportEnergyCons!$B$4:$B$10000)*1,ISNUMBER(SEARCH("T_b_c*ICE*DSL*s1",[1]OUT_TransportEnergyCons!$A$4:$A$10000))*1,[1]OUT_TransportEnergyCons!H$4:H$10000))*1000</f>
        <v>0</v>
      </c>
      <c r="K2199" s="1" cm="1">
        <f t="array" ref="K2199">(SUMPRODUCT(("var_ncap"=[1]OUT_TransportEnergyCons!$B$4:$B$10000)*1,ISNUMBER(SEARCH("T_b_c*ICE*DSL*s1",[1]OUT_TransportEnergyCons!$A$4:$A$10000))*1,[1]OUT_TransportEnergyCons!I$4:I$10000))*1000</f>
        <v>0</v>
      </c>
    </row>
    <row r="2200" spans="2:11" x14ac:dyDescent="0.35">
      <c r="B2200" s="5" t="str">
        <f t="shared" si="1312"/>
        <v>SPS4</v>
      </c>
      <c r="C2200" s="5" t="str">
        <f t="shared" si="1310"/>
        <v>CH</v>
      </c>
      <c r="D2200" t="s">
        <v>2349</v>
      </c>
      <c r="E2200" t="s">
        <v>2000</v>
      </c>
      <c r="F2200" s="1" cm="1">
        <f t="array" ref="F2200">(SUMPRODUCT(("var_ncap"=[1]OUT_TransportEnergyCons!$B$4:$B$10000)*1,ISNUMBER(SEARCH("T_b_c*ICE*DSL*s2",[1]OUT_TransportEnergyCons!$A$4:$A$10000))*1,[1]OUT_TransportEnergyCons!D$4:D$10000))*1000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(SUMPRODUCT(("var_ncap"=[1]OUT_TransportEnergyCons!$B$4:$B$10000)*1,ISNUMBER(SEARCH("T_b_c*ICE*DSL*s2",[1]OUT_TransportEnergyCons!$A$4:$A$10000))*1,[1]OUT_TransportEnergyCons!E$4:E$10000))*1000</f>
        <v>6.5263302922490907E-4</v>
      </c>
      <c r="H2200" s="1" cm="1">
        <f t="array" ref="H2200">(SUMPRODUCT(("var_ncap"=[1]OUT_TransportEnergyCons!$B$4:$B$10000)*1,ISNUMBER(SEARCH("T_b_c*ICE*DSL*s2",[1]OUT_TransportEnergyCons!$A$4:$A$10000))*1,[1]OUT_TransportEnergyCons!F$4:F$10000))*1000</f>
        <v>9.1816297345239002E-4</v>
      </c>
      <c r="I2200" s="1" cm="1">
        <f t="array" ref="I2200">(SUMPRODUCT(("var_ncap"=[1]OUT_TransportEnergyCons!$B$4:$B$10000)*1,ISNUMBER(SEARCH("T_b_c*ICE*DSL*s2",[1]OUT_TransportEnergyCons!$A$4:$A$10000))*1,[1]OUT_TransportEnergyCons!G$4:G$10000))*1000</f>
        <v>0</v>
      </c>
      <c r="J2200" s="1" cm="1">
        <f t="array" ref="J2200">(SUMPRODUCT(("var_ncap"=[1]OUT_TransportEnergyCons!$B$4:$B$10000)*1,ISNUMBER(SEARCH("T_b_c*ICE*DSL*s2",[1]OUT_TransportEnergyCons!$A$4:$A$10000))*1,[1]OUT_TransportEnergyCons!H$4:H$10000))*1000</f>
        <v>0</v>
      </c>
      <c r="K2200" s="1" cm="1">
        <f t="array" ref="K2200">(SUMPRODUCT(("var_ncap"=[1]OUT_TransportEnergyCons!$B$4:$B$10000)*1,ISNUMBER(SEARCH("T_b_c*ICE*DSL*s2",[1]OUT_TransportEnergyCons!$A$4:$A$10000))*1,[1]OUT_TransportEnergyCons!I$4:I$10000))*1000</f>
        <v>0</v>
      </c>
    </row>
    <row r="2201" spans="2:11" x14ac:dyDescent="0.35">
      <c r="B2201" s="5" t="str">
        <f t="shared" si="1312"/>
        <v>SPS4</v>
      </c>
      <c r="C2201" s="5" t="str">
        <f t="shared" si="1310"/>
        <v>CH</v>
      </c>
      <c r="D2201" t="s">
        <v>2350</v>
      </c>
      <c r="E2201" t="s">
        <v>2000</v>
      </c>
      <c r="F2201" s="1" cm="1">
        <f t="array" ref="F2201">(SUMPRODUCT(("var_ncap"=[1]OUT_TransportEnergyCons!$B$4:$B$10000)*1,ISNUMBER(SEARCH("T_b_c*ICE*DSL*s3",[1]OUT_TransportEnergyCons!$A$4:$A$10000))*1,[1]OUT_TransportEnergyCons!D$4:D$10000))*1000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(SUMPRODUCT(("var_ncap"=[1]OUT_TransportEnergyCons!$B$4:$B$10000)*1,ISNUMBER(SEARCH("T_b_c*ICE*DSL*s3",[1]OUT_TransportEnergyCons!$A$4:$A$10000))*1,[1]OUT_TransportEnergyCons!E$4:E$10000))*1000</f>
        <v>2.6565598985662397E-4</v>
      </c>
      <c r="H2201" s="1" cm="1">
        <f t="array" ref="H2201">(SUMPRODUCT(("var_ncap"=[1]OUT_TransportEnergyCons!$B$4:$B$10000)*1,ISNUMBER(SEARCH("T_b_c*ICE*DSL*s3",[1]OUT_TransportEnergyCons!$A$4:$A$10000))*1,[1]OUT_TransportEnergyCons!F$4:F$10000))*1000</f>
        <v>2.7183139495192397E-4</v>
      </c>
      <c r="I2201" s="1" cm="1">
        <f t="array" ref="I2201">(SUMPRODUCT(("var_ncap"=[1]OUT_TransportEnergyCons!$B$4:$B$10000)*1,ISNUMBER(SEARCH("T_b_c*ICE*DSL*s3",[1]OUT_TransportEnergyCons!$A$4:$A$10000))*1,[1]OUT_TransportEnergyCons!G$4:G$10000))*1000</f>
        <v>0</v>
      </c>
      <c r="J2201" s="1" cm="1">
        <f t="array" ref="J2201">(SUMPRODUCT(("var_ncap"=[1]OUT_TransportEnergyCons!$B$4:$B$10000)*1,ISNUMBER(SEARCH("T_b_c*ICE*DSL*s3",[1]OUT_TransportEnergyCons!$A$4:$A$10000))*1,[1]OUT_TransportEnergyCons!H$4:H$10000))*1000</f>
        <v>0</v>
      </c>
      <c r="K2201" s="1" cm="1">
        <f t="array" ref="K2201">(SUMPRODUCT(("var_ncap"=[1]OUT_TransportEnergyCons!$B$4:$B$10000)*1,ISNUMBER(SEARCH("T_b_c*ICE*DSL*s3",[1]OUT_TransportEnergyCons!$A$4:$A$10000))*1,[1]OUT_TransportEnergyCons!I$4:I$10000))*1000</f>
        <v>0</v>
      </c>
    </row>
    <row r="2202" spans="2:11" x14ac:dyDescent="0.35">
      <c r="B2202" s="5" t="str">
        <f t="shared" si="1312"/>
        <v>SPS4</v>
      </c>
      <c r="C2202" s="5" t="str">
        <f t="shared" si="1310"/>
        <v>CH</v>
      </c>
      <c r="D2202" t="s">
        <v>2351</v>
      </c>
      <c r="E2202" t="s">
        <v>2000</v>
      </c>
      <c r="F2202" s="1" cm="1">
        <f t="array" ref="F2202">(SUMPRODUCT(("var_ncap"=[1]OUT_TransportEnergyCons!$B$4:$B$10000)*1,ISNUMBER(SEARCH("T_b_c*ICE*DSL*s4",[1]OUT_TransportEnergyCons!$A$4:$A$10000))*1,[1]OUT_TransportEnergyCons!D$4:D$10000))*1000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(SUMPRODUCT(("var_ncap"=[1]OUT_TransportEnergyCons!$B$4:$B$10000)*1,ISNUMBER(SEARCH("T_b_c*ICE*DSL*s4",[1]OUT_TransportEnergyCons!$A$4:$A$10000))*1,[1]OUT_TransportEnergyCons!E$4:E$10000))*1000</f>
        <v>3.10145362367424E-5</v>
      </c>
      <c r="H2202" s="1" cm="1">
        <f t="array" ref="H2202">(SUMPRODUCT(("var_ncap"=[1]OUT_TransportEnergyCons!$B$4:$B$10000)*1,ISNUMBER(SEARCH("T_b_c*ICE*DSL*s4",[1]OUT_TransportEnergyCons!$A$4:$A$10000))*1,[1]OUT_TransportEnergyCons!F$4:F$10000))*1000</f>
        <v>2.9852092573583498E-5</v>
      </c>
      <c r="I2202" s="1" cm="1">
        <f t="array" ref="I2202">(SUMPRODUCT(("var_ncap"=[1]OUT_TransportEnergyCons!$B$4:$B$10000)*1,ISNUMBER(SEARCH("T_b_c*ICE*DSL*s4",[1]OUT_TransportEnergyCons!$A$4:$A$10000))*1,[1]OUT_TransportEnergyCons!G$4:G$10000))*1000</f>
        <v>0</v>
      </c>
      <c r="J2202" s="1" cm="1">
        <f t="array" ref="J2202">(SUMPRODUCT(("var_ncap"=[1]OUT_TransportEnergyCons!$B$4:$B$10000)*1,ISNUMBER(SEARCH("T_b_c*ICE*DSL*s4",[1]OUT_TransportEnergyCons!$A$4:$A$10000))*1,[1]OUT_TransportEnergyCons!H$4:H$10000))*1000</f>
        <v>0</v>
      </c>
      <c r="K2202" s="1" cm="1">
        <f t="array" ref="K2202">(SUMPRODUCT(("var_ncap"=[1]OUT_TransportEnergyCons!$B$4:$B$10000)*1,ISNUMBER(SEARCH("T_b_c*ICE*DSL*s4",[1]OUT_TransportEnergyCons!$A$4:$A$10000))*1,[1]OUT_TransportEnergyCons!I$4:I$10000))*1000</f>
        <v>0</v>
      </c>
    </row>
    <row r="2203" spans="2:11" x14ac:dyDescent="0.35">
      <c r="B2203" s="5" t="str">
        <f t="shared" si="1312"/>
        <v>SPS4</v>
      </c>
      <c r="C2203" s="5" t="str">
        <f t="shared" si="1310"/>
        <v>CH</v>
      </c>
      <c r="D2203" t="s">
        <v>2352</v>
      </c>
      <c r="E2203" t="s">
        <v>2000</v>
      </c>
      <c r="F2203" s="1" cm="1">
        <f t="array" ref="F2203">(SUMPRODUCT(("var_ncap"=[1]OUT_TransportEnergyCons!$B$4:$B$10000)*1,ISNUMBER(SEARCH("T_b_c*ICE*nga*ext",[1]OUT_TransportEnergyCons!$A$4:$A$10000))*1,[1]OUT_TransportEnergyCons!D$4:D$10000))*1000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(SUMPRODUCT(("var_ncap"=[1]OUT_TransportEnergyCons!$B$4:$B$10000)*1,ISNUMBER(SEARCH("T_b_c*ICE*nga*ext",[1]OUT_TransportEnergyCons!$A$4:$A$10000))*1,[1]OUT_TransportEnergyCons!E$4:E$10000))*1000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(SUMPRODUCT(("var_ncap"=[1]OUT_TransportEnergyCons!$B$4:$B$10000)*1,ISNUMBER(SEARCH("T_b_c*ICE*nga*ext",[1]OUT_TransportEnergyCons!$A$4:$A$10000))*1,[1]OUT_TransportEnergyCons!F$4:F$10000))*1000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(SUMPRODUCT(("var_ncap"=[1]OUT_TransportEnergyCons!$B$4:$B$10000)*1,ISNUMBER(SEARCH("T_b_c*ICE*nga*ext",[1]OUT_TransportEnergyCons!$A$4:$A$10000))*1,[1]OUT_TransportEnergyCons!G$4:G$10000))*1000</f>
        <v>0</v>
      </c>
      <c r="J2203" s="1" cm="1">
        <f t="array" ref="J2203">(SUMPRODUCT(("var_ncap"=[1]OUT_TransportEnergyCons!$B$4:$B$10000)*1,ISNUMBER(SEARCH("T_b_c*ICE*nga*ext",[1]OUT_TransportEnergyCons!$A$4:$A$10000))*1,[1]OUT_TransportEnergyCons!H$4:H$10000))*1000</f>
        <v>0</v>
      </c>
      <c r="K2203" s="1" cm="1">
        <f t="array" ref="K2203">(SUMPRODUCT(("var_ncap"=[1]OUT_TransportEnergyCons!$B$4:$B$10000)*1,ISNUMBER(SEARCH("T_b_c*ICE*nga*ext",[1]OUT_TransportEnergyCons!$A$4:$A$10000))*1,[1]OUT_TransportEnergyCons!I$4:I$10000))*1000</f>
        <v>0</v>
      </c>
    </row>
    <row r="2204" spans="2:11" x14ac:dyDescent="0.35">
      <c r="B2204" s="5" t="str">
        <f t="shared" si="1312"/>
        <v>SPS4</v>
      </c>
      <c r="C2204" s="5" t="str">
        <f t="shared" si="1310"/>
        <v>CH</v>
      </c>
      <c r="D2204" t="s">
        <v>2353</v>
      </c>
      <c r="E2204" t="s">
        <v>2000</v>
      </c>
      <c r="F2204" s="1" cm="1">
        <f t="array" ref="F2204">(SUMPRODUCT(("var_ncap"=[1]OUT_TransportEnergyCons!$B$4:$B$10000)*1,ISNUMBER(SEARCH("T_b_c*ICE*nga*s1",[1]OUT_TransportEnergyCons!$A$4:$A$10000))*1,[1]OUT_TransportEnergyCons!D$4:D$10000))*1000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(SUMPRODUCT(("var_ncap"=[1]OUT_TransportEnergyCons!$B$4:$B$10000)*1,ISNUMBER(SEARCH("T_b_c*ICE*nga*s1",[1]OUT_TransportEnergyCons!$A$4:$A$10000))*1,[1]OUT_TransportEnergyCons!E$4:E$10000))*1000</f>
        <v>4.3111511576125896E-4</v>
      </c>
      <c r="H2204" s="1" cm="1">
        <f t="array" ref="H2204">(SUMPRODUCT(("var_ncap"=[1]OUT_TransportEnergyCons!$B$4:$B$10000)*1,ISNUMBER(SEARCH("T_b_c*ICE*nga*s1",[1]OUT_TransportEnergyCons!$A$4:$A$10000))*1,[1]OUT_TransportEnergyCons!F$4:F$10000))*1000</f>
        <v>1.6780026955090699E-3</v>
      </c>
      <c r="I2204" s="1" cm="1">
        <f t="array" ref="I2204">(SUMPRODUCT(("var_ncap"=[1]OUT_TransportEnergyCons!$B$4:$B$10000)*1,ISNUMBER(SEARCH("T_b_c*ICE*nga*s1",[1]OUT_TransportEnergyCons!$A$4:$A$10000))*1,[1]OUT_TransportEnergyCons!G$4:G$10000))*1000</f>
        <v>0</v>
      </c>
      <c r="J2204" s="1" cm="1">
        <f t="array" ref="J2204">(SUMPRODUCT(("var_ncap"=[1]OUT_TransportEnergyCons!$B$4:$B$10000)*1,ISNUMBER(SEARCH("T_b_c*ICE*nga*s1",[1]OUT_TransportEnergyCons!$A$4:$A$10000))*1,[1]OUT_TransportEnergyCons!H$4:H$10000))*1000</f>
        <v>0</v>
      </c>
      <c r="K2204" s="1" cm="1">
        <f t="array" ref="K2204">(SUMPRODUCT(("var_ncap"=[1]OUT_TransportEnergyCons!$B$4:$B$10000)*1,ISNUMBER(SEARCH("T_b_c*ICE*nga*s1",[1]OUT_TransportEnergyCons!$A$4:$A$10000))*1,[1]OUT_TransportEnergyCons!I$4:I$10000))*1000</f>
        <v>0</v>
      </c>
    </row>
    <row r="2205" spans="2:11" x14ac:dyDescent="0.35">
      <c r="B2205" s="5" t="str">
        <f t="shared" si="1312"/>
        <v>SPS4</v>
      </c>
      <c r="C2205" s="5" t="str">
        <f t="shared" si="1310"/>
        <v>CH</v>
      </c>
      <c r="D2205" t="s">
        <v>2354</v>
      </c>
      <c r="E2205" t="s">
        <v>2000</v>
      </c>
      <c r="F2205" s="1" cm="1">
        <f t="array" ref="F2205">(SUMPRODUCT(("var_ncap"=[1]OUT_TransportEnergyCons!$B$4:$B$10000)*1,ISNUMBER(SEARCH("T_b_c*ICE*nga*s2",[1]OUT_TransportEnergyCons!$A$4:$A$10000))*1,[1]OUT_TransportEnergyCons!D$4:D$10000))*1000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(SUMPRODUCT(("var_ncap"=[1]OUT_TransportEnergyCons!$B$4:$B$10000)*1,ISNUMBER(SEARCH("T_b_c*ICE*nga*s2",[1]OUT_TransportEnergyCons!$A$4:$A$10000))*1,[1]OUT_TransportEnergyCons!E$4:E$10000))*1000</f>
        <v>1.7031188395328601E-4</v>
      </c>
      <c r="H2205" s="1" cm="1">
        <f t="array" ref="H2205">(SUMPRODUCT(("var_ncap"=[1]OUT_TransportEnergyCons!$B$4:$B$10000)*1,ISNUMBER(SEARCH("T_b_c*ICE*nga*s2",[1]OUT_TransportEnergyCons!$A$4:$A$10000))*1,[1]OUT_TransportEnergyCons!F$4:F$10000))*1000</f>
        <v>6.7571189344717199E-4</v>
      </c>
      <c r="I2205" s="1" cm="1">
        <f t="array" ref="I2205">(SUMPRODUCT(("var_ncap"=[1]OUT_TransportEnergyCons!$B$4:$B$10000)*1,ISNUMBER(SEARCH("T_b_c*ICE*nga*s2",[1]OUT_TransportEnergyCons!$A$4:$A$10000))*1,[1]OUT_TransportEnergyCons!G$4:G$10000))*1000</f>
        <v>0</v>
      </c>
      <c r="J2205" s="1" cm="1">
        <f t="array" ref="J2205">(SUMPRODUCT(("var_ncap"=[1]OUT_TransportEnergyCons!$B$4:$B$10000)*1,ISNUMBER(SEARCH("T_b_c*ICE*nga*s2",[1]OUT_TransportEnergyCons!$A$4:$A$10000))*1,[1]OUT_TransportEnergyCons!H$4:H$10000))*1000</f>
        <v>0</v>
      </c>
      <c r="K2205" s="1" cm="1">
        <f t="array" ref="K2205">(SUMPRODUCT(("var_ncap"=[1]OUT_TransportEnergyCons!$B$4:$B$10000)*1,ISNUMBER(SEARCH("T_b_c*ICE*nga*s2",[1]OUT_TransportEnergyCons!$A$4:$A$10000))*1,[1]OUT_TransportEnergyCons!I$4:I$10000))*1000</f>
        <v>0</v>
      </c>
    </row>
    <row r="2206" spans="2:11" x14ac:dyDescent="0.35">
      <c r="B2206" s="5" t="str">
        <f t="shared" si="1312"/>
        <v>SPS4</v>
      </c>
      <c r="C2206" s="5" t="str">
        <f t="shared" si="1310"/>
        <v>CH</v>
      </c>
      <c r="D2206" t="s">
        <v>2355</v>
      </c>
      <c r="E2206" t="s">
        <v>2000</v>
      </c>
      <c r="F2206" s="1" cm="1">
        <f t="array" ref="F2206">(SUMPRODUCT(("var_ncap"=[1]OUT_TransportEnergyCons!$B$4:$B$10000)*1,ISNUMBER(SEARCH("T_b_c*ICE*nga*s3",[1]OUT_TransportEnergyCons!$A$4:$A$10000))*1,[1]OUT_TransportEnergyCons!D$4:D$10000))*1000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(SUMPRODUCT(("var_ncap"=[1]OUT_TransportEnergyCons!$B$4:$B$10000)*1,ISNUMBER(SEARCH("T_b_c*ICE*nga*s3",[1]OUT_TransportEnergyCons!$A$4:$A$10000))*1,[1]OUT_TransportEnergyCons!E$4:E$10000))*1000</f>
        <v>9.9313399115962396E-5</v>
      </c>
      <c r="H2206" s="1" cm="1">
        <f t="array" ref="H2206">(SUMPRODUCT(("var_ncap"=[1]OUT_TransportEnergyCons!$B$4:$B$10000)*1,ISNUMBER(SEARCH("T_b_c*ICE*nga*s3",[1]OUT_TransportEnergyCons!$A$4:$A$10000))*1,[1]OUT_TransportEnergyCons!F$4:F$10000))*1000</f>
        <v>2.6816832955570298E-4</v>
      </c>
      <c r="I2206" s="1" cm="1">
        <f t="array" ref="I2206">(SUMPRODUCT(("var_ncap"=[1]OUT_TransportEnergyCons!$B$4:$B$10000)*1,ISNUMBER(SEARCH("T_b_c*ICE*nga*s3",[1]OUT_TransportEnergyCons!$A$4:$A$10000))*1,[1]OUT_TransportEnergyCons!G$4:G$10000))*1000</f>
        <v>0</v>
      </c>
      <c r="J2206" s="1" cm="1">
        <f t="array" ref="J2206">(SUMPRODUCT(("var_ncap"=[1]OUT_TransportEnergyCons!$B$4:$B$10000)*1,ISNUMBER(SEARCH("T_b_c*ICE*nga*s3",[1]OUT_TransportEnergyCons!$A$4:$A$10000))*1,[1]OUT_TransportEnergyCons!H$4:H$10000))*1000</f>
        <v>1.1386586735944001E-5</v>
      </c>
      <c r="K2206" s="1" cm="1">
        <f t="array" ref="K2206">(SUMPRODUCT(("var_ncap"=[1]OUT_TransportEnergyCons!$B$4:$B$10000)*1,ISNUMBER(SEARCH("T_b_c*ICE*nga*s3",[1]OUT_TransportEnergyCons!$A$4:$A$10000))*1,[1]OUT_TransportEnergyCons!I$4:I$10000))*1000</f>
        <v>0</v>
      </c>
    </row>
    <row r="2207" spans="2:11" x14ac:dyDescent="0.35">
      <c r="B2207" s="5" t="str">
        <f t="shared" si="1312"/>
        <v>SPS4</v>
      </c>
      <c r="C2207" s="5" t="str">
        <f t="shared" si="1310"/>
        <v>CH</v>
      </c>
      <c r="D2207" t="s">
        <v>2356</v>
      </c>
      <c r="E2207" t="s">
        <v>2000</v>
      </c>
      <c r="F2207" s="1" cm="1">
        <f t="array" ref="F2207">(SUMPRODUCT(("var_ncap"=[1]OUT_TransportEnergyCons!$B$4:$B$10000)*1,ISNUMBER(SEARCH("T_b_c*ICE*nga*s4",[1]OUT_TransportEnergyCons!$A$4:$A$10000))*1,[1]OUT_TransportEnergyCons!D$4:D$10000))*1000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(SUMPRODUCT(("var_ncap"=[1]OUT_TransportEnergyCons!$B$4:$B$10000)*1,ISNUMBER(SEARCH("T_b_c*ICE*nga*s4",[1]OUT_TransportEnergyCons!$A$4:$A$10000))*1,[1]OUT_TransportEnergyCons!E$4:E$10000))*1000</f>
        <v>1.13622344387278E-5</v>
      </c>
      <c r="H2207" s="1" cm="1">
        <f t="array" ref="H2207">(SUMPRODUCT(("var_ncap"=[1]OUT_TransportEnergyCons!$B$4:$B$10000)*1,ISNUMBER(SEARCH("T_b_c*ICE*nga*s4",[1]OUT_TransportEnergyCons!$A$4:$A$10000))*1,[1]OUT_TransportEnergyCons!F$4:F$10000))*1000</f>
        <v>2.0684308172341501E-5</v>
      </c>
      <c r="I2207" s="1" cm="1">
        <f t="array" ref="I2207">(SUMPRODUCT(("var_ncap"=[1]OUT_TransportEnergyCons!$B$4:$B$10000)*1,ISNUMBER(SEARCH("T_b_c*ICE*nga*s4",[1]OUT_TransportEnergyCons!$A$4:$A$10000))*1,[1]OUT_TransportEnergyCons!G$4:G$10000))*1000</f>
        <v>0</v>
      </c>
      <c r="J2207" s="1" cm="1">
        <f t="array" ref="J2207">(SUMPRODUCT(("var_ncap"=[1]OUT_TransportEnergyCons!$B$4:$B$10000)*1,ISNUMBER(SEARCH("T_b_c*ICE*nga*s4",[1]OUT_TransportEnergyCons!$A$4:$A$10000))*1,[1]OUT_TransportEnergyCons!H$4:H$10000))*1000</f>
        <v>0</v>
      </c>
      <c r="K2207" s="1" cm="1">
        <f t="array" ref="K2207">(SUMPRODUCT(("var_ncap"=[1]OUT_TransportEnergyCons!$B$4:$B$10000)*1,ISNUMBER(SEARCH("T_b_c*ICE*nga*s4",[1]OUT_TransportEnergyCons!$A$4:$A$10000))*1,[1]OUT_TransportEnergyCons!I$4:I$10000))*1000</f>
        <v>0</v>
      </c>
    </row>
    <row r="2208" spans="2:11" x14ac:dyDescent="0.35">
      <c r="B2208" s="5" t="str">
        <f t="shared" si="1312"/>
        <v>SPS4</v>
      </c>
      <c r="C2208" s="5" t="str">
        <f t="shared" si="1310"/>
        <v>CH</v>
      </c>
      <c r="D2208" s="2" t="s">
        <v>2188</v>
      </c>
      <c r="E2208" s="2" t="s">
        <v>2000</v>
      </c>
      <c r="F2208" s="3">
        <f t="shared" ref="F2208:K2208" si="1314">SUM(F2209:F2217)</f>
        <v>1.83758196794966E-5</v>
      </c>
      <c r="G2208" s="3">
        <f t="shared" si="1314"/>
        <v>15.040730162373809</v>
      </c>
      <c r="H2208" s="3">
        <f t="shared" si="1314"/>
        <v>62.963939273242424</v>
      </c>
      <c r="I2208" s="3">
        <f t="shared" si="1314"/>
        <v>169.88579376368793</v>
      </c>
      <c r="J2208" s="3">
        <f t="shared" si="1314"/>
        <v>196.01953724392934</v>
      </c>
      <c r="K2208" s="3">
        <f t="shared" si="1314"/>
        <v>364.92007007577149</v>
      </c>
    </row>
    <row r="2209" spans="2:11" x14ac:dyDescent="0.35">
      <c r="B2209" s="5" t="str">
        <f t="shared" si="1312"/>
        <v>SPS4</v>
      </c>
      <c r="C2209" s="5" t="str">
        <f t="shared" si="1310"/>
        <v>CH</v>
      </c>
      <c r="D2209" t="s">
        <v>2357</v>
      </c>
      <c r="E2209" t="s">
        <v>2000</v>
      </c>
      <c r="F2209" s="1" cm="1">
        <f t="array" ref="F2209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09" s="1" cm="1">
        <f t="array" ref="G2209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09" s="1" cm="1">
        <f t="array" ref="H2209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09" s="1" cm="1">
        <f t="array" ref="I2209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09" s="1" cm="1">
        <f t="array" ref="J2209">(SUMPRODUCT(("var_ncap"=[1]OUT_TransportEnergyCons!$B$4:$B$10000)*1,("-"=[1]OUT_TransportEnergyCons!$C$4:$C$10000)*1,ISNUMBER(SEARCH("tfl*bev*ext",[1]OUT_TransportEnergyCons!$A$4:$A$10000))*1,[1]OUT_TransportEnergyCons!H$4:H$10000))*1000</f>
        <v>0</v>
      </c>
      <c r="K2209" s="1" cm="1">
        <f t="array" ref="K2209">(SUMPRODUCT(("var_ncap"=[1]OUT_TransportEnergyCons!$B$4:$B$10000)*1,("-"=[1]OUT_TransportEnergyCons!$C$4:$C$10000)*1,ISNUMBER(SEARCH("tfl*bev*ext",[1]OUT_TransportEnergyCons!$A$4:$A$10000))*1,[1]OUT_TransportEnergyCons!I$4:I$10000))*1000</f>
        <v>0</v>
      </c>
    </row>
    <row r="2210" spans="2:11" x14ac:dyDescent="0.35">
      <c r="B2210" s="5" t="str">
        <f t="shared" si="1312"/>
        <v>SPS4</v>
      </c>
      <c r="C2210" s="5" t="str">
        <f t="shared" si="1310"/>
        <v>CH</v>
      </c>
      <c r="D2210" t="s">
        <v>2358</v>
      </c>
      <c r="E2210" t="s">
        <v>2000</v>
      </c>
      <c r="F2210" s="1" cm="1">
        <f t="array" ref="F2210">(SUMPRODUCT(("var_ncap"=[1]OUT_TransportEnergyCons!$B$4:$B$10000)*1,("-"=[1]OUT_TransportEnergyCons!$C$4:$C$10000)*1,ISNUMBER(SEARCH("tfl*bev*",[1]OUT_TransportEnergyCons!$A$4:$A$10000))*1,[1]OUT_TransportEnergyCons!D$4:D$10000))*1000-F2209</f>
        <v>0</v>
      </c>
      <c r="G2210" s="1" cm="1">
        <f t="array" ref="G2210">(SUMPRODUCT(("var_ncap"=[1]OUT_TransportEnergyCons!$B$4:$B$10000)*1,("-"=[1]OUT_TransportEnergyCons!$C$4:$C$10000)*1,ISNUMBER(SEARCH("tfl*bev*",[1]OUT_TransportEnergyCons!$A$4:$A$10000))*1,[1]OUT_TransportEnergyCons!E$4:E$10000))*1000-G2209</f>
        <v>2.5018664826572201</v>
      </c>
      <c r="H2210" s="1" cm="1">
        <f t="array" ref="H2210">(SUMPRODUCT(("var_ncap"=[1]OUT_TransportEnergyCons!$B$4:$B$10000)*1,("-"=[1]OUT_TransportEnergyCons!$C$4:$C$10000)*1,ISNUMBER(SEARCH("tfl*bev*",[1]OUT_TransportEnergyCons!$A$4:$A$10000))*1,[1]OUT_TransportEnergyCons!F$4:F$10000))*1000-H2209</f>
        <v>10.3777579095176</v>
      </c>
      <c r="I2210" s="1" cm="1">
        <f t="array" ref="I2210">(SUMPRODUCT(("var_ncap"=[1]OUT_TransportEnergyCons!$B$4:$B$10000)*1,("-"=[1]OUT_TransportEnergyCons!$C$4:$C$10000)*1,ISNUMBER(SEARCH("tfl*bev*",[1]OUT_TransportEnergyCons!$A$4:$A$10000))*1,[1]OUT_TransportEnergyCons!G$4:G$10000))*1000-I2209</f>
        <v>45.557618348050902</v>
      </c>
      <c r="J2210" s="1" cm="1">
        <f t="array" ref="J2210">(SUMPRODUCT(("var_ncap"=[1]OUT_TransportEnergyCons!$B$4:$B$10000)*1,("-"=[1]OUT_TransportEnergyCons!$C$4:$C$10000)*1,ISNUMBER(SEARCH("tfl*bev*",[1]OUT_TransportEnergyCons!$A$4:$A$10000))*1,[1]OUT_TransportEnergyCons!H$4:H$10000))*1000-J2209</f>
        <v>195.83879107273799</v>
      </c>
      <c r="K2210" s="1" cm="1">
        <f t="array" ref="K2210">(SUMPRODUCT(("var_ncap"=[1]OUT_TransportEnergyCons!$B$4:$B$10000)*1,("-"=[1]OUT_TransportEnergyCons!$C$4:$C$10000)*1,ISNUMBER(SEARCH("tfl*bev*",[1]OUT_TransportEnergyCons!$A$4:$A$10000))*1,[1]OUT_TransportEnergyCons!I$4:I$10000))*1000-K2209</f>
        <v>229.36513041697501</v>
      </c>
    </row>
    <row r="2211" spans="2:11" x14ac:dyDescent="0.35">
      <c r="B2211" s="5" t="str">
        <f t="shared" si="1312"/>
        <v>SPS4</v>
      </c>
      <c r="C2211" s="5" t="str">
        <f t="shared" si="1310"/>
        <v>CH</v>
      </c>
      <c r="D2211" t="s">
        <v>2359</v>
      </c>
      <c r="E2211" t="s">
        <v>2000</v>
      </c>
      <c r="F2211" s="1" cm="1">
        <f t="array" ref="F2211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1" s="1" cm="1">
        <f t="array" ref="G2211">(SUMPRODUCT(("var_ncap"=[1]OUT_TransportEnergyCons!$B$4:$B$10000)*1,("-"=[1]OUT_TransportEnergyCons!$C$4:$C$10000)*1,ISNUMBER(SEARCH("tfl*h2o*",[1]OUT_TransportEnergyCons!$A$4:$A$10000))*1,[1]OUT_TransportEnergyCons!E$4:E$10000))*1000</f>
        <v>1.97878553256337E-3</v>
      </c>
      <c r="H2211" s="1" cm="1">
        <f t="array" ref="H2211">(SUMPRODUCT(("var_ncap"=[1]OUT_TransportEnergyCons!$B$4:$B$10000)*1,("-"=[1]OUT_TransportEnergyCons!$C$4:$C$10000)*1,ISNUMBER(SEARCH("tfl*h2o*",[1]OUT_TransportEnergyCons!$A$4:$A$10000))*1,[1]OUT_TransportEnergyCons!F$4:F$10000))*1000</f>
        <v>7.4770304904801007E-4</v>
      </c>
      <c r="I2211" s="1" cm="1">
        <f t="array" ref="I2211">(SUMPRODUCT(("var_ncap"=[1]OUT_TransportEnergyCons!$B$4:$B$10000)*1,("-"=[1]OUT_TransportEnergyCons!$C$4:$C$10000)*1,ISNUMBER(SEARCH("tfl*h2o*",[1]OUT_TransportEnergyCons!$A$4:$A$10000))*1,[1]OUT_TransportEnergyCons!G$4:G$10000))*1000</f>
        <v>3.9326365586103598E-4</v>
      </c>
      <c r="J2211" s="1" cm="1">
        <f t="array" ref="J2211">(SUMPRODUCT(("var_ncap"=[1]OUT_TransportEnergyCons!$B$4:$B$10000)*1,("-"=[1]OUT_TransportEnergyCons!$C$4:$C$10000)*1,ISNUMBER(SEARCH("tfl*h2o*",[1]OUT_TransportEnergyCons!$A$4:$A$10000))*1,[1]OUT_TransportEnergyCons!H$4:H$10000))*1000</f>
        <v>6.4263128968774705E-4</v>
      </c>
      <c r="K2211" s="1" cm="1">
        <f t="array" ref="K2211">(SUMPRODUCT(("var_ncap"=[1]OUT_TransportEnergyCons!$B$4:$B$10000)*1,("-"=[1]OUT_TransportEnergyCons!$C$4:$C$10000)*1,ISNUMBER(SEARCH("tfl*h2o*",[1]OUT_TransportEnergyCons!$A$4:$A$10000))*1,[1]OUT_TransportEnergyCons!I$4:I$10000))*1000</f>
        <v>8.2724287199074605E-4</v>
      </c>
    </row>
    <row r="2212" spans="2:11" x14ac:dyDescent="0.35">
      <c r="B2212" s="5" t="str">
        <f t="shared" si="1312"/>
        <v>SPS4</v>
      </c>
      <c r="C2212" s="5" t="str">
        <f t="shared" si="1310"/>
        <v>CH</v>
      </c>
      <c r="D2212" t="s">
        <v>2360</v>
      </c>
      <c r="E2212" t="s">
        <v>2000</v>
      </c>
      <c r="F2212" s="1" cm="1">
        <f t="array" ref="F2212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2" s="1" cm="1">
        <f t="array" ref="G2212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2" s="1" cm="1">
        <f t="array" ref="H2212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2" s="1" cm="1">
        <f t="array" ref="I2212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2" s="1" cm="1">
        <f t="array" ref="J2212">(SUMPRODUCT(("var_ncap"=[1]OUT_TransportEnergyCons!$B$4:$B$10000)*1,("-"=[1]OUT_TransportEnergyCons!$C$4:$C$10000)*1,ISNUMBER(SEARCH("TfL*ICE*GSL*ext",[1]OUT_TransportEnergyCons!$A$4:$A$10000))*1,[1]OUT_TransportEnergyCons!H$4:H$10000))*1000</f>
        <v>0</v>
      </c>
      <c r="K2212" s="1" cm="1">
        <f t="array" ref="K2212">(SUMPRODUCT(("var_ncap"=[1]OUT_TransportEnergyCons!$B$4:$B$10000)*1,("-"=[1]OUT_TransportEnergyCons!$C$4:$C$10000)*1,ISNUMBER(SEARCH("TfL*ICE*GSL*ext",[1]OUT_TransportEnergyCons!$A$4:$A$10000))*1,[1]OUT_TransportEnergyCons!I$4:I$10000))*1000</f>
        <v>0</v>
      </c>
    </row>
    <row r="2213" spans="2:11" x14ac:dyDescent="0.35">
      <c r="B2213" s="5" t="str">
        <f t="shared" si="1312"/>
        <v>SPS4</v>
      </c>
      <c r="C2213" s="5" t="str">
        <f t="shared" si="1310"/>
        <v>CH</v>
      </c>
      <c r="D2213" t="s">
        <v>2361</v>
      </c>
      <c r="E2213" t="s">
        <v>2000</v>
      </c>
      <c r="F2213" s="1" cm="1">
        <f t="array" ref="F2213">(SUMPRODUCT(("var_ncap"=[1]OUT_TransportEnergyCons!$B$4:$B$10000)*1,("-"=[1]OUT_TransportEnergyCons!$C$4:$C$10000)*1,ISNUMBER(SEARCH("TfL*ICE*GSL*",[1]OUT_TransportEnergyCons!$A$4:$A$10000))*1,[1]OUT_TransportEnergyCons!D$4:D$10000))*1000-F2212</f>
        <v>0</v>
      </c>
      <c r="G2213" s="1" cm="1">
        <f t="array" ref="G2213">(SUMPRODUCT(("var_ncap"=[1]OUT_TransportEnergyCons!$B$4:$B$10000)*1,("-"=[1]OUT_TransportEnergyCons!$C$4:$C$10000)*1,ISNUMBER(SEARCH("TfL*ICE*GSL*",[1]OUT_TransportEnergyCons!$A$4:$A$10000))*1,[1]OUT_TransportEnergyCons!E$4:E$10000))*1000-G2212</f>
        <v>6.7147083862889598</v>
      </c>
      <c r="H2213" s="1" cm="1">
        <f t="array" ref="H2213">(SUMPRODUCT(("var_ncap"=[1]OUT_TransportEnergyCons!$B$4:$B$10000)*1,("-"=[1]OUT_TransportEnergyCons!$C$4:$C$10000)*1,ISNUMBER(SEARCH("TfL*ICE*GSL*",[1]OUT_TransportEnergyCons!$A$4:$A$10000))*1,[1]OUT_TransportEnergyCons!F$4:F$10000))*1000-H2212</f>
        <v>12.775794157618201</v>
      </c>
      <c r="I2213" s="1" cm="1">
        <f t="array" ref="I2213">(SUMPRODUCT(("var_ncap"=[1]OUT_TransportEnergyCons!$B$4:$B$10000)*1,("-"=[1]OUT_TransportEnergyCons!$C$4:$C$10000)*1,ISNUMBER(SEARCH("TfL*ICE*GSL*",[1]OUT_TransportEnergyCons!$A$4:$A$10000))*1,[1]OUT_TransportEnergyCons!G$4:G$10000))*1000-I2212</f>
        <v>29.0819617869784</v>
      </c>
      <c r="J2213" s="1" cm="1">
        <f t="array" ref="J2213">(SUMPRODUCT(("var_ncap"=[1]OUT_TransportEnergyCons!$B$4:$B$10000)*1,("-"=[1]OUT_TransportEnergyCons!$C$4:$C$10000)*1,ISNUMBER(SEARCH("TfL*ICE*GSL*",[1]OUT_TransportEnergyCons!$A$4:$A$10000))*1,[1]OUT_TransportEnergyCons!H$4:H$10000))*1000-J2212</f>
        <v>0.124075621104523</v>
      </c>
      <c r="K2213" s="1" cm="1">
        <f t="array" ref="K2213">(SUMPRODUCT(("var_ncap"=[1]OUT_TransportEnergyCons!$B$4:$B$10000)*1,("-"=[1]OUT_TransportEnergyCons!$C$4:$C$10000)*1,ISNUMBER(SEARCH("TfL*ICE*GSL*",[1]OUT_TransportEnergyCons!$A$4:$A$10000))*1,[1]OUT_TransportEnergyCons!I$4:I$10000))*1000-K2212</f>
        <v>49.994333049878797</v>
      </c>
    </row>
    <row r="2214" spans="2:11" x14ac:dyDescent="0.35">
      <c r="B2214" s="5" t="str">
        <f t="shared" si="1312"/>
        <v>SPS4</v>
      </c>
      <c r="C2214" s="5" t="str">
        <f t="shared" si="1310"/>
        <v>CH</v>
      </c>
      <c r="D2214" t="s">
        <v>2362</v>
      </c>
      <c r="E2214" t="s">
        <v>2000</v>
      </c>
      <c r="F2214" s="1" cm="1">
        <f t="array" ref="F2214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4" s="1" cm="1">
        <f t="array" ref="J2214">(SUMPRODUCT(("var_ncap"=[1]OUT_TransportEnergyCons!$B$4:$B$10000)*1,("-"=[1]OUT_TransportEnergyCons!$C$4:$C$10000)*1,ISNUMBER(SEARCH("tfl*ICE*DSL*ext",[1]OUT_TransportEnergyCons!$A$4:$A$10000))*1,[1]OUT_TransportEnergyCons!H$4:H$10000))*1000</f>
        <v>0</v>
      </c>
      <c r="K2214" s="1" cm="1">
        <f t="array" ref="K2214">(SUMPRODUCT(("var_ncap"=[1]OUT_TransportEnergyCons!$B$4:$B$10000)*1,("-"=[1]OUT_TransportEnergyCons!$C$4:$C$10000)*1,ISNUMBER(SEARCH("tfl*ICE*DSL*ext",[1]OUT_TransportEnergyCons!$A$4:$A$10000))*1,[1]OUT_TransportEnergyCons!I$4:I$10000))*1000</f>
        <v>0</v>
      </c>
    </row>
    <row r="2215" spans="2:11" x14ac:dyDescent="0.35">
      <c r="B2215" s="5" t="str">
        <f t="shared" si="1312"/>
        <v>SPS4</v>
      </c>
      <c r="C2215" s="5" t="str">
        <f t="shared" si="1310"/>
        <v>CH</v>
      </c>
      <c r="D2215" t="s">
        <v>2363</v>
      </c>
      <c r="E2215" t="s">
        <v>2000</v>
      </c>
      <c r="F2215" s="1" cm="1">
        <f t="array" ref="F2215">(SUMPRODUCT(("var_ncap"=[1]OUT_TransportEnergyCons!$B$4:$B$10000)*1,("-"=[1]OUT_TransportEnergyCons!$C$4:$C$10000)*1,ISNUMBER(SEARCH("tfl*ICE*DSL*",[1]OUT_TransportEnergyCons!$A$4:$A$10000))*1,[1]OUT_TransportEnergyCons!D$4:D$10000))*1000-F2214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(SUMPRODUCT(("var_ncap"=[1]OUT_TransportEnergyCons!$B$4:$B$10000)*1,("-"=[1]OUT_TransportEnergyCons!$C$4:$C$10000)*1,ISNUMBER(SEARCH("tfl*ICE*DSL*",[1]OUT_TransportEnergyCons!$A$4:$A$10000))*1,[1]OUT_TransportEnergyCons!E$4:E$10000))*1000-G2214</f>
        <v>1.36640273989723E-2</v>
      </c>
      <c r="H2215" s="1" cm="1">
        <f t="array" ref="H2215">(SUMPRODUCT(("var_ncap"=[1]OUT_TransportEnergyCons!$B$4:$B$10000)*1,("-"=[1]OUT_TransportEnergyCons!$C$4:$C$10000)*1,ISNUMBER(SEARCH("tfl*ICE*DSL*",[1]OUT_TransportEnergyCons!$A$4:$A$10000))*1,[1]OUT_TransportEnergyCons!F$4:F$10000))*1000-H2214</f>
        <v>0.113219594226459</v>
      </c>
      <c r="I2215" s="1" cm="1">
        <f t="array" ref="I2215">(SUMPRODUCT(("var_ncap"=[1]OUT_TransportEnergyCons!$B$4:$B$10000)*1,("-"=[1]OUT_TransportEnergyCons!$C$4:$C$10000)*1,ISNUMBER(SEARCH("tfl*ICE*DSL*",[1]OUT_TransportEnergyCons!$A$4:$A$10000))*1,[1]OUT_TransportEnergyCons!G$4:G$10000))*1000-I2214</f>
        <v>9.3995123286991597E-2</v>
      </c>
      <c r="J2215" s="1" cm="1">
        <f t="array" ref="J2215">(SUMPRODUCT(("var_ncap"=[1]OUT_TransportEnergyCons!$B$4:$B$10000)*1,("-"=[1]OUT_TransportEnergyCons!$C$4:$C$10000)*1,ISNUMBER(SEARCH("tfl*ICE*DSL*",[1]OUT_TransportEnergyCons!$A$4:$A$10000))*1,[1]OUT_TransportEnergyCons!H$4:H$10000))*1000-J2214</f>
        <v>2.4600282954774799E-2</v>
      </c>
      <c r="K2215" s="1" cm="1">
        <f t="array" ref="K2215">(SUMPRODUCT(("var_ncap"=[1]OUT_TransportEnergyCons!$B$4:$B$10000)*1,("-"=[1]OUT_TransportEnergyCons!$C$4:$C$10000)*1,ISNUMBER(SEARCH("tfl*ICE*DSL*",[1]OUT_TransportEnergyCons!$A$4:$A$10000))*1,[1]OUT_TransportEnergyCons!I$4:I$10000))*1000-K2214</f>
        <v>3.6154513958227302E-2</v>
      </c>
    </row>
    <row r="2216" spans="2:11" x14ac:dyDescent="0.35">
      <c r="B2216" s="5" t="str">
        <f t="shared" si="1312"/>
        <v>SPS4</v>
      </c>
      <c r="C2216" s="5" t="str">
        <f t="shared" si="1310"/>
        <v>CH</v>
      </c>
      <c r="D2216" t="s">
        <v>2364</v>
      </c>
      <c r="E2216" t="s">
        <v>2000</v>
      </c>
      <c r="F2216" s="1" cm="1">
        <f t="array" ref="F2216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(SUMPRODUCT(("var_ncap"=[1]OUT_TransportEnergyCons!$B$4:$B$10000)*1,("-"=[1]OUT_TransportEnergyCons!$C$4:$C$10000)*1,ISNUMBER(SEARCH("tfl*hyb*DSL*",[1]OUT_TransportEnergyCons!$A$4:$A$10000))*1,[1]OUT_TransportEnergyCons!E$4:E$10000))*1000</f>
        <v>5.8068843641156898</v>
      </c>
      <c r="H2216" s="1" cm="1">
        <f t="array" ref="H2216">(SUMPRODUCT(("var_ncap"=[1]OUT_TransportEnergyCons!$B$4:$B$10000)*1,("-"=[1]OUT_TransportEnergyCons!$C$4:$C$10000)*1,ISNUMBER(SEARCH("tfl*hyb*DSL*",[1]OUT_TransportEnergyCons!$A$4:$A$10000))*1,[1]OUT_TransportEnergyCons!F$4:F$10000))*1000</f>
        <v>39.6949349803944</v>
      </c>
      <c r="I2216" s="1" cm="1">
        <f t="array" ref="I2216">(SUMPRODUCT(("var_ncap"=[1]OUT_TransportEnergyCons!$B$4:$B$10000)*1,("-"=[1]OUT_TransportEnergyCons!$C$4:$C$10000)*1,ISNUMBER(SEARCH("tfl*hyb*DSL*",[1]OUT_TransportEnergyCons!$A$4:$A$10000))*1,[1]OUT_TransportEnergyCons!G$4:G$10000))*1000</f>
        <v>95.151051988143806</v>
      </c>
      <c r="J2216" s="1" cm="1">
        <f t="array" ref="J2216">(SUMPRODUCT(("var_ncap"=[1]OUT_TransportEnergyCons!$B$4:$B$10000)*1,("-"=[1]OUT_TransportEnergyCons!$C$4:$C$10000)*1,ISNUMBER(SEARCH("tfl*hyb*DSL*",[1]OUT_TransportEnergyCons!$A$4:$A$10000))*1,[1]OUT_TransportEnergyCons!H$4:H$10000))*1000</f>
        <v>3.0214917202521202E-2</v>
      </c>
      <c r="K2216" s="1" cm="1">
        <f t="array" ref="K2216">(SUMPRODUCT(("var_ncap"=[1]OUT_TransportEnergyCons!$B$4:$B$10000)*1,("-"=[1]OUT_TransportEnergyCons!$C$4:$C$10000)*1,ISNUMBER(SEARCH("tfl*hyb*DSL*",[1]OUT_TransportEnergyCons!$A$4:$A$10000))*1,[1]OUT_TransportEnergyCons!I$4:I$10000))*1000</f>
        <v>85.521323098247905</v>
      </c>
    </row>
    <row r="2217" spans="2:11" x14ac:dyDescent="0.35">
      <c r="B2217" s="5" t="str">
        <f t="shared" si="1312"/>
        <v>SPS4</v>
      </c>
      <c r="C2217" s="5" t="str">
        <f t="shared" si="1310"/>
        <v>CH</v>
      </c>
      <c r="D2217" t="s">
        <v>2365</v>
      </c>
      <c r="E2217" t="s">
        <v>2000</v>
      </c>
      <c r="F2217" s="1" cm="1">
        <f t="array" ref="F2217">(SUMPRODUCT(("var_ncap"=[1]OUT_TransportEnergyCons!$B$4:$B$10000)*1,("-"=[1]OUT_TransportEnergyCons!$C$4:$C$10000)*1,ISNUMBER(SEARCH("tfl*ice*nga*",[1]OUT_TransportEnergyCons!$A$4:$A$10000))*1,[1]OUT_TransportEnergyCons!D$4:D$10000))*1000</f>
        <v>1.83758196794966E-5</v>
      </c>
      <c r="G2217" s="1" cm="1">
        <f t="array" ref="G2217">(SUMPRODUCT(("var_ncap"=[1]OUT_TransportEnergyCons!$B$4:$B$10000)*1,("-"=[1]OUT_TransportEnergyCons!$C$4:$C$10000)*1,ISNUMBER(SEARCH("tfl*ice*nga*",[1]OUT_TransportEnergyCons!$A$4:$A$10000))*1,[1]OUT_TransportEnergyCons!E$4:E$10000))*1000</f>
        <v>1.62811638040175E-3</v>
      </c>
      <c r="H2217" s="1" cm="1">
        <f t="array" ref="H2217">(SUMPRODUCT(("var_ncap"=[1]OUT_TransportEnergyCons!$B$4:$B$10000)*1,("-"=[1]OUT_TransportEnergyCons!$C$4:$C$10000)*1,ISNUMBER(SEARCH("tfl*ice*nga*",[1]OUT_TransportEnergyCons!$A$4:$A$10000))*1,[1]OUT_TransportEnergyCons!F$4:F$10000))*1000</f>
        <v>1.4849284367190101E-3</v>
      </c>
      <c r="I2217" s="1" cm="1">
        <f t="array" ref="I2217">(SUMPRODUCT(("var_ncap"=[1]OUT_TransportEnergyCons!$B$4:$B$10000)*1,("-"=[1]OUT_TransportEnergyCons!$C$4:$C$10000)*1,ISNUMBER(SEARCH("tfl*ice*nga*",[1]OUT_TransportEnergyCons!$A$4:$A$10000))*1,[1]OUT_TransportEnergyCons!G$4:G$10000))*1000</f>
        <v>7.7325357196636804E-4</v>
      </c>
      <c r="J2217" s="1" cm="1">
        <f t="array" ref="J2217">(SUMPRODUCT(("var_ncap"=[1]OUT_TransportEnergyCons!$B$4:$B$10000)*1,("-"=[1]OUT_TransportEnergyCons!$C$4:$C$10000)*1,ISNUMBER(SEARCH("tfl*ice*nga*",[1]OUT_TransportEnergyCons!$A$4:$A$10000))*1,[1]OUT_TransportEnergyCons!H$4:H$10000))*1000</f>
        <v>1.21271863987311E-3</v>
      </c>
      <c r="K2217" s="1" cm="1">
        <f t="array" ref="K2217">(SUMPRODUCT(("var_ncap"=[1]OUT_TransportEnergyCons!$B$4:$B$10000)*1,("-"=[1]OUT_TransportEnergyCons!$C$4:$C$10000)*1,ISNUMBER(SEARCH("tfl*ice*nga*",[1]OUT_TransportEnergyCons!$A$4:$A$10000))*1,[1]OUT_TransportEnergyCons!I$4:I$10000))*1000</f>
        <v>2.30175383956506E-3</v>
      </c>
    </row>
    <row r="2218" spans="2:11" x14ac:dyDescent="0.35">
      <c r="B2218" s="5" t="str">
        <f t="shared" si="1312"/>
        <v>SPS4</v>
      </c>
      <c r="C2218" s="5" t="str">
        <f t="shared" si="1310"/>
        <v>CH</v>
      </c>
      <c r="D2218" s="2" t="s">
        <v>2190</v>
      </c>
      <c r="E2218" s="2" t="s">
        <v>2000</v>
      </c>
      <c r="F2218" s="3">
        <f t="shared" ref="F2218:K2218" si="1315">SUM(F2219:F2227)</f>
        <v>0</v>
      </c>
      <c r="G2218" s="3">
        <f t="shared" si="1315"/>
        <v>3.5672270176399228</v>
      </c>
      <c r="H2218" s="3">
        <f t="shared" si="1315"/>
        <v>9.3104971413837667</v>
      </c>
      <c r="I2218" s="3">
        <f t="shared" si="1315"/>
        <v>26.459487577644069</v>
      </c>
      <c r="J2218" s="3">
        <f t="shared" si="1315"/>
        <v>21.630030999095922</v>
      </c>
      <c r="K2218" s="3">
        <f t="shared" si="1315"/>
        <v>49.396009285347226</v>
      </c>
    </row>
    <row r="2219" spans="2:11" x14ac:dyDescent="0.35">
      <c r="B2219" s="5" t="str">
        <f t="shared" si="1312"/>
        <v>SPS4</v>
      </c>
      <c r="C2219" s="5" t="str">
        <f t="shared" si="1310"/>
        <v>CH</v>
      </c>
      <c r="D2219" t="s">
        <v>2366</v>
      </c>
      <c r="E2219" t="s">
        <v>2000</v>
      </c>
      <c r="F2219" s="1" cm="1">
        <f t="array" ref="F2219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19" s="1" cm="1">
        <f t="array" ref="J2219">(SUMPRODUCT(("var_ncap"=[1]OUT_TransportEnergyCons!$B$4:$B$10000)*1,("-"=[1]OUT_TransportEnergyCons!$C$4:$C$10000)*1,ISNUMBER(SEARCH("tfh*bev*ext",[1]OUT_TransportEnergyCons!$A$4:$A$10000))*1,[1]OUT_TransportEnergyCons!H$4:H$10000))*1000</f>
        <v>0</v>
      </c>
      <c r="K2219" s="1" cm="1">
        <f t="array" ref="K2219">(SUMPRODUCT(("var_ncap"=[1]OUT_TransportEnergyCons!$B$4:$B$10000)*1,("-"=[1]OUT_TransportEnergyCons!$C$4:$C$10000)*1,ISNUMBER(SEARCH("tfh*bev*ext",[1]OUT_TransportEnergyCons!$A$4:$A$10000))*1,[1]OUT_TransportEnergyCons!I$4:I$10000))*1000</f>
        <v>0</v>
      </c>
    </row>
    <row r="2220" spans="2:11" x14ac:dyDescent="0.35">
      <c r="B2220" s="5" t="str">
        <f t="shared" si="1312"/>
        <v>SPS4</v>
      </c>
      <c r="C2220" s="5" t="str">
        <f t="shared" si="1310"/>
        <v>CH</v>
      </c>
      <c r="D2220" t="s">
        <v>2367</v>
      </c>
      <c r="E2220" t="s">
        <v>2000</v>
      </c>
      <c r="F2220" s="1" cm="1">
        <f t="array" ref="F2220">(SUMPRODUCT(("var_ncap"=[1]OUT_TransportEnergyCons!$B$4:$B$10000)*1,("-"=[1]OUT_TransportEnergyCons!$C$4:$C$10000)*1,ISNUMBER(SEARCH("tfh*bev*",[1]OUT_TransportEnergyCons!$A$4:$A$10000))*1,[1]OUT_TransportEnergyCons!D$4:D$10000))*1000-F2219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(SUMPRODUCT(("var_ncap"=[1]OUT_TransportEnergyCons!$B$4:$B$10000)*1,("-"=[1]OUT_TransportEnergyCons!$C$4:$C$10000)*1,ISNUMBER(SEARCH("tfh*bev*",[1]OUT_TransportEnergyCons!$A$4:$A$10000))*1,[1]OUT_TransportEnergyCons!E$4:E$10000))*1000-G2219</f>
        <v>2.13745510176344E-3</v>
      </c>
      <c r="H2220" s="1" cm="1">
        <f t="array" ref="H2220">(SUMPRODUCT(("var_ncap"=[1]OUT_TransportEnergyCons!$B$4:$B$10000)*1,("-"=[1]OUT_TransportEnergyCons!$C$4:$C$10000)*1,ISNUMBER(SEARCH("tfh*bev*",[1]OUT_TransportEnergyCons!$A$4:$A$10000))*1,[1]OUT_TransportEnergyCons!F$4:F$10000))*1000-H2219</f>
        <v>6.0094598015911398E-3</v>
      </c>
      <c r="I2220" s="1" cm="1">
        <f t="array" ref="I2220">(SUMPRODUCT(("var_ncap"=[1]OUT_TransportEnergyCons!$B$4:$B$10000)*1,("-"=[1]OUT_TransportEnergyCons!$C$4:$C$10000)*1,ISNUMBER(SEARCH("tfh*bev*",[1]OUT_TransportEnergyCons!$A$4:$A$10000))*1,[1]OUT_TransportEnergyCons!G$4:G$10000))*1000-I2219</f>
        <v>3.9490087638276205E-3</v>
      </c>
      <c r="J2220" s="1" cm="1">
        <f t="array" ref="J2220">(SUMPRODUCT(("var_ncap"=[1]OUT_TransportEnergyCons!$B$4:$B$10000)*1,("-"=[1]OUT_TransportEnergyCons!$C$4:$C$10000)*1,ISNUMBER(SEARCH("tfh*bev*",[1]OUT_TransportEnergyCons!$A$4:$A$10000))*1,[1]OUT_TransportEnergyCons!H$4:H$10000))*1000-J2219</f>
        <v>4.6277515126934895E-3</v>
      </c>
      <c r="K2220" s="1" cm="1">
        <f t="array" ref="K2220">(SUMPRODUCT(("var_ncap"=[1]OUT_TransportEnergyCons!$B$4:$B$10000)*1,("-"=[1]OUT_TransportEnergyCons!$C$4:$C$10000)*1,ISNUMBER(SEARCH("tfh*bev*",[1]OUT_TransportEnergyCons!$A$4:$A$10000))*1,[1]OUT_TransportEnergyCons!I$4:I$10000))*1000-K2219</f>
        <v>2.3578764648582102E-3</v>
      </c>
    </row>
    <row r="2221" spans="2:11" x14ac:dyDescent="0.35">
      <c r="B2221" s="5" t="str">
        <f t="shared" si="1312"/>
        <v>SPS4</v>
      </c>
      <c r="C2221" s="5" t="str">
        <f t="shared" ref="C2221:C2284" si="1316">C2220</f>
        <v>CH</v>
      </c>
      <c r="D2221" t="s">
        <v>2368</v>
      </c>
      <c r="E2221" t="s">
        <v>2000</v>
      </c>
      <c r="F2221" s="1" cm="1">
        <f t="array" ref="F2221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(SUMPRODUCT(("var_ncap"=[1]OUT_TransportEnergyCons!$B$4:$B$10000)*1,("-"=[1]OUT_TransportEnergyCons!$C$4:$C$10000)*1,ISNUMBER(SEARCH("tfh*h2o*",[1]OUT_TransportEnergyCons!$A$4:$A$10000))*1,[1]OUT_TransportEnergyCons!E$4:E$10000))*1000</f>
        <v>1.5313997008254199E-4</v>
      </c>
      <c r="H2221" s="1" cm="1">
        <f t="array" ref="H2221">(SUMPRODUCT(("var_ncap"=[1]OUT_TransportEnergyCons!$B$4:$B$10000)*1,("-"=[1]OUT_TransportEnergyCons!$C$4:$C$10000)*1,ISNUMBER(SEARCH("tfh*h2o*",[1]OUT_TransportEnergyCons!$A$4:$A$10000))*1,[1]OUT_TransportEnergyCons!F$4:F$10000))*1000</f>
        <v>1.3825567999166001E-4</v>
      </c>
      <c r="I2221" s="1" cm="1">
        <f t="array" ref="I2221">(SUMPRODUCT(("var_ncap"=[1]OUT_TransportEnergyCons!$B$4:$B$10000)*1,("-"=[1]OUT_TransportEnergyCons!$C$4:$C$10000)*1,ISNUMBER(SEARCH("tfh*h2o*",[1]OUT_TransportEnergyCons!$A$4:$A$10000))*1,[1]OUT_TransportEnergyCons!G$4:G$10000))*1000</f>
        <v>2.04919622325972E-4</v>
      </c>
      <c r="J2221" s="1" cm="1">
        <f t="array" ref="J2221">(SUMPRODUCT(("var_ncap"=[1]OUT_TransportEnergyCons!$B$4:$B$10000)*1,("-"=[1]OUT_TransportEnergyCons!$C$4:$C$10000)*1,ISNUMBER(SEARCH("tfh*h2o*",[1]OUT_TransportEnergyCons!$A$4:$A$10000))*1,[1]OUT_TransportEnergyCons!H$4:H$10000))*1000</f>
        <v>3.6546283832408001E-4</v>
      </c>
      <c r="K2221" s="1" cm="1">
        <f t="array" ref="K2221">(SUMPRODUCT(("var_ncap"=[1]OUT_TransportEnergyCons!$B$4:$B$10000)*1,("-"=[1]OUT_TransportEnergyCons!$C$4:$C$10000)*1,ISNUMBER(SEARCH("tfh*h2o*",[1]OUT_TransportEnergyCons!$A$4:$A$10000))*1,[1]OUT_TransportEnergyCons!I$4:I$10000))*1000</f>
        <v>6.9032100631202494E-4</v>
      </c>
    </row>
    <row r="2222" spans="2:11" x14ac:dyDescent="0.35">
      <c r="B2222" s="5" t="str">
        <f t="shared" si="1312"/>
        <v>SPS4</v>
      </c>
      <c r="C2222" s="5" t="str">
        <f t="shared" si="1316"/>
        <v>CH</v>
      </c>
      <c r="D2222" t="s">
        <v>2369</v>
      </c>
      <c r="E2222" t="s">
        <v>2000</v>
      </c>
      <c r="F2222" s="1" cm="1">
        <f t="array" ref="F2222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2" s="1" cm="1">
        <f t="array" ref="G2222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2" s="1" cm="1">
        <f t="array" ref="H2222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2" s="1" cm="1">
        <f t="array" ref="I2222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2" s="1" cm="1">
        <f t="array" ref="J2222">(SUMPRODUCT(("var_ncap"=[1]OUT_TransportEnergyCons!$B$4:$B$10000)*1,("-"=[1]OUT_TransportEnergyCons!$C$4:$C$10000)*1,ISNUMBER(SEARCH("tfh*ICE*GSL*ext",[1]OUT_TransportEnergyCons!$A$4:$A$10000))*1,[1]OUT_TransportEnergyCons!H$4:H$10000))*1000</f>
        <v>0</v>
      </c>
      <c r="K2222" s="1" cm="1">
        <f t="array" ref="K2222">(SUMPRODUCT(("var_ncap"=[1]OUT_TransportEnergyCons!$B$4:$B$10000)*1,("-"=[1]OUT_TransportEnergyCons!$C$4:$C$10000)*1,ISNUMBER(SEARCH("tfh*ICE*GSL*ext",[1]OUT_TransportEnergyCons!$A$4:$A$10000))*1,[1]OUT_TransportEnergyCons!I$4:I$10000))*1000</f>
        <v>0</v>
      </c>
    </row>
    <row r="2223" spans="2:11" x14ac:dyDescent="0.35">
      <c r="B2223" s="5" t="str">
        <f t="shared" si="1312"/>
        <v>SPS4</v>
      </c>
      <c r="C2223" s="5" t="str">
        <f t="shared" si="1316"/>
        <v>CH</v>
      </c>
      <c r="D2223" t="s">
        <v>2370</v>
      </c>
      <c r="E2223" t="s">
        <v>2000</v>
      </c>
      <c r="F2223" s="1" cm="1">
        <f t="array" ref="F2223">(SUMPRODUCT(("var_ncap"=[1]OUT_TransportEnergyCons!$B$4:$B$10000)*1,("-"=[1]OUT_TransportEnergyCons!$C$4:$C$10000)*1,ISNUMBER(SEARCH("tfh*ICE*GSL*",[1]OUT_TransportEnergyCons!$A$4:$A$10000))*1,[1]OUT_TransportEnergyCons!D$4:D$10000))*1000-F2222</f>
        <v>0</v>
      </c>
      <c r="G2223" s="1" cm="1">
        <f t="array" ref="G2223">(SUMPRODUCT(("var_ncap"=[1]OUT_TransportEnergyCons!$B$4:$B$10000)*1,("-"=[1]OUT_TransportEnergyCons!$C$4:$C$10000)*1,ISNUMBER(SEARCH("tfh*ICE*GSL*",[1]OUT_TransportEnergyCons!$A$4:$A$10000))*1,[1]OUT_TransportEnergyCons!E$4:E$10000))*1000-G2222</f>
        <v>0</v>
      </c>
      <c r="H2223" s="1" cm="1">
        <f t="array" ref="H2223">(SUMPRODUCT(("var_ncap"=[1]OUT_TransportEnergyCons!$B$4:$B$10000)*1,("-"=[1]OUT_TransportEnergyCons!$C$4:$C$10000)*1,ISNUMBER(SEARCH("tfh*ICE*GSL*",[1]OUT_TransportEnergyCons!$A$4:$A$10000))*1,[1]OUT_TransportEnergyCons!F$4:F$10000))*1000-H2222</f>
        <v>0</v>
      </c>
      <c r="I2223" s="1" cm="1">
        <f t="array" ref="I2223">(SUMPRODUCT(("var_ncap"=[1]OUT_TransportEnergyCons!$B$4:$B$10000)*1,("-"=[1]OUT_TransportEnergyCons!$C$4:$C$10000)*1,ISNUMBER(SEARCH("tfh*ICE*GSL*",[1]OUT_TransportEnergyCons!$A$4:$A$10000))*1,[1]OUT_TransportEnergyCons!G$4:G$10000))*1000-I2222</f>
        <v>0</v>
      </c>
      <c r="J2223" s="1" cm="1">
        <f t="array" ref="J2223">(SUMPRODUCT(("var_ncap"=[1]OUT_TransportEnergyCons!$B$4:$B$10000)*1,("-"=[1]OUT_TransportEnergyCons!$C$4:$C$10000)*1,ISNUMBER(SEARCH("tfh*ICE*GSL*",[1]OUT_TransportEnergyCons!$A$4:$A$10000))*1,[1]OUT_TransportEnergyCons!H$4:H$10000))*1000-J2222</f>
        <v>0</v>
      </c>
      <c r="K2223" s="1" cm="1">
        <f t="array" ref="K2223">(SUMPRODUCT(("var_ncap"=[1]OUT_TransportEnergyCons!$B$4:$B$10000)*1,("-"=[1]OUT_TransportEnergyCons!$C$4:$C$10000)*1,ISNUMBER(SEARCH("tfh*ICE*GSL*",[1]OUT_TransportEnergyCons!$A$4:$A$10000))*1,[1]OUT_TransportEnergyCons!I$4:I$10000))*1000-K2222</f>
        <v>0</v>
      </c>
    </row>
    <row r="2224" spans="2:11" x14ac:dyDescent="0.35">
      <c r="B2224" s="5" t="str">
        <f t="shared" si="1312"/>
        <v>SPS4</v>
      </c>
      <c r="C2224" s="5" t="str">
        <f t="shared" si="1316"/>
        <v>CH</v>
      </c>
      <c r="D2224" t="s">
        <v>2371</v>
      </c>
      <c r="E2224" t="s">
        <v>2000</v>
      </c>
      <c r="F2224" s="1" cm="1">
        <f t="array" ref="F2224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4" s="1" cm="1">
        <f t="array" ref="J2224">(SUMPRODUCT(("var_ncap"=[1]OUT_TransportEnergyCons!$B$4:$B$10000)*1,("-"=[1]OUT_TransportEnergyCons!$C$4:$C$10000)*1,ISNUMBER(SEARCH("tfh*ICE*DSL*ext",[1]OUT_TransportEnergyCons!$A$4:$A$10000))*1,[1]OUT_TransportEnergyCons!H$4:H$10000))*1000</f>
        <v>0</v>
      </c>
      <c r="K2224" s="1" cm="1">
        <f t="array" ref="K2224">(SUMPRODUCT(("var_ncap"=[1]OUT_TransportEnergyCons!$B$4:$B$10000)*1,("-"=[1]OUT_TransportEnergyCons!$C$4:$C$10000)*1,ISNUMBER(SEARCH("tfh*ICE*DSL*ext",[1]OUT_TransportEnergyCons!$A$4:$A$10000))*1,[1]OUT_TransportEnergyCons!I$4:I$10000))*1000</f>
        <v>0</v>
      </c>
    </row>
    <row r="2225" spans="2:11" x14ac:dyDescent="0.35">
      <c r="B2225" s="5" t="str">
        <f t="shared" si="1312"/>
        <v>SPS4</v>
      </c>
      <c r="C2225" s="5" t="str">
        <f t="shared" si="1316"/>
        <v>CH</v>
      </c>
      <c r="D2225" t="s">
        <v>2372</v>
      </c>
      <c r="E2225" t="s">
        <v>2000</v>
      </c>
      <c r="F2225" s="1" cm="1">
        <f t="array" ref="F2225">(SUMPRODUCT(("var_ncap"=[1]OUT_TransportEnergyCons!$B$4:$B$10000)*1,("-"=[1]OUT_TransportEnergyCons!$C$4:$C$10000)*1,ISNUMBER(SEARCH("tfh*ICE*DSL*",[1]OUT_TransportEnergyCons!$A$4:$A$10000))*1,[1]OUT_TransportEnergyCons!D$4:D$10000))*1000-F2224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(SUMPRODUCT(("var_ncap"=[1]OUT_TransportEnergyCons!$B$4:$B$10000)*1,("-"=[1]OUT_TransportEnergyCons!$C$4:$C$10000)*1,ISNUMBER(SEARCH("tfh*ICE*DSL*",[1]OUT_TransportEnergyCons!$A$4:$A$10000))*1,[1]OUT_TransportEnergyCons!E$4:E$10000))*1000-G2224</f>
        <v>1.1353875957679799E-3</v>
      </c>
      <c r="H2225" s="1" cm="1">
        <f t="array" ref="H2225">(SUMPRODUCT(("var_ncap"=[1]OUT_TransportEnergyCons!$B$4:$B$10000)*1,("-"=[1]OUT_TransportEnergyCons!$C$4:$C$10000)*1,ISNUMBER(SEARCH("tfh*ICE*DSL*",[1]OUT_TransportEnergyCons!$A$4:$A$10000))*1,[1]OUT_TransportEnergyCons!F$4:F$10000))*1000-H2224</f>
        <v>4.2189503891339897E-3</v>
      </c>
      <c r="I2225" s="1" cm="1">
        <f t="array" ref="I2225">(SUMPRODUCT(("var_ncap"=[1]OUT_TransportEnergyCons!$B$4:$B$10000)*1,("-"=[1]OUT_TransportEnergyCons!$C$4:$C$10000)*1,ISNUMBER(SEARCH("tfh*ICE*DSL*",[1]OUT_TransportEnergyCons!$A$4:$A$10000))*1,[1]OUT_TransportEnergyCons!G$4:G$10000))*1000-I2224</f>
        <v>4.2835605760363302E-3</v>
      </c>
      <c r="J2225" s="1" cm="1">
        <f t="array" ref="J2225">(SUMPRODUCT(("var_ncap"=[1]OUT_TransportEnergyCons!$B$4:$B$10000)*1,("-"=[1]OUT_TransportEnergyCons!$C$4:$C$10000)*1,ISNUMBER(SEARCH("tfh*ICE*DSL*",[1]OUT_TransportEnergyCons!$A$4:$A$10000))*1,[1]OUT_TransportEnergyCons!H$4:H$10000))*1000-J2224</f>
        <v>5.7278666343517403E-3</v>
      </c>
      <c r="K2225" s="1" cm="1">
        <f t="array" ref="K2225">(SUMPRODUCT(("var_ncap"=[1]OUT_TransportEnergyCons!$B$4:$B$10000)*1,("-"=[1]OUT_TransportEnergyCons!$C$4:$C$10000)*1,ISNUMBER(SEARCH("tfh*ICE*DSL*",[1]OUT_TransportEnergyCons!$A$4:$A$10000))*1,[1]OUT_TransportEnergyCons!I$4:I$10000))*1000-K2224</f>
        <v>2.3864169413778096E-3</v>
      </c>
    </row>
    <row r="2226" spans="2:11" x14ac:dyDescent="0.35">
      <c r="B2226" s="5" t="str">
        <f t="shared" si="1312"/>
        <v>SPS4</v>
      </c>
      <c r="C2226" s="5" t="str">
        <f t="shared" si="1316"/>
        <v>CH</v>
      </c>
      <c r="D2226" t="s">
        <v>2373</v>
      </c>
      <c r="E2226" t="s">
        <v>2000</v>
      </c>
      <c r="F2226" s="1" cm="1">
        <f t="array" ref="F2226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(SUMPRODUCT(("var_ncap"=[1]OUT_TransportEnergyCons!$B$4:$B$10000)*1,("-"=[1]OUT_TransportEnergyCons!$C$4:$C$10000)*1,ISNUMBER(SEARCH("tfh*hyb*DSL*",[1]OUT_TransportEnergyCons!$A$4:$A$10000))*1,[1]OUT_TransportEnergyCons!E$4:E$10000))*1000</f>
        <v>3.5634009869081198</v>
      </c>
      <c r="H2226" s="1" cm="1">
        <f t="array" ref="H2226">(SUMPRODUCT(("var_ncap"=[1]OUT_TransportEnergyCons!$B$4:$B$10000)*1,("-"=[1]OUT_TransportEnergyCons!$C$4:$C$10000)*1,ISNUMBER(SEARCH("tfh*hyb*DSL*",[1]OUT_TransportEnergyCons!$A$4:$A$10000))*1,[1]OUT_TransportEnergyCons!F$4:F$10000))*1000</f>
        <v>9.2993286768201102</v>
      </c>
      <c r="I2226" s="1" cm="1">
        <f t="array" ref="I2226">(SUMPRODUCT(("var_ncap"=[1]OUT_TransportEnergyCons!$B$4:$B$10000)*1,("-"=[1]OUT_TransportEnergyCons!$C$4:$C$10000)*1,ISNUMBER(SEARCH("tfh*hyb*DSL*",[1]OUT_TransportEnergyCons!$A$4:$A$10000))*1,[1]OUT_TransportEnergyCons!G$4:G$10000))*1000</f>
        <v>26.444443154861101</v>
      </c>
      <c r="J2226" s="1" cm="1">
        <f t="array" ref="J2226">(SUMPRODUCT(("var_ncap"=[1]OUT_TransportEnergyCons!$B$4:$B$10000)*1,("-"=[1]OUT_TransportEnergyCons!$C$4:$C$10000)*1,ISNUMBER(SEARCH("tfh*hyb*DSL*",[1]OUT_TransportEnergyCons!$A$4:$A$10000))*1,[1]OUT_TransportEnergyCons!H$4:H$10000))*1000</f>
        <v>21.615298040733698</v>
      </c>
      <c r="K2226" s="1" cm="1">
        <f t="array" ref="K2226">(SUMPRODUCT(("var_ncap"=[1]OUT_TransportEnergyCons!$B$4:$B$10000)*1,("-"=[1]OUT_TransportEnergyCons!$C$4:$C$10000)*1,ISNUMBER(SEARCH("tfh*hyb*DSL*",[1]OUT_TransportEnergyCons!$A$4:$A$10000))*1,[1]OUT_TransportEnergyCons!I$4:I$10000))*1000</f>
        <v>49.382361195775204</v>
      </c>
    </row>
    <row r="2227" spans="2:11" x14ac:dyDescent="0.35">
      <c r="B2227" s="5" t="str">
        <f t="shared" si="1312"/>
        <v>SPS4</v>
      </c>
      <c r="C2227" s="5" t="str">
        <f t="shared" si="1316"/>
        <v>CH</v>
      </c>
      <c r="D2227" t="s">
        <v>2374</v>
      </c>
      <c r="E2227" t="s">
        <v>2000</v>
      </c>
      <c r="F2227" s="1" cm="1">
        <f t="array" ref="F2227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(SUMPRODUCT(("var_ncap"=[1]OUT_TransportEnergyCons!$B$4:$B$10000)*1,("-"=[1]OUT_TransportEnergyCons!$C$4:$C$10000)*1,ISNUMBER(SEARCH("tfh*ice*nga*",[1]OUT_TransportEnergyCons!$A$4:$A$10000))*1,[1]OUT_TransportEnergyCons!E$4:E$10000))*1000</f>
        <v>4.0004806418885997E-4</v>
      </c>
      <c r="H2227" s="1" cm="1">
        <f t="array" ref="H2227">(SUMPRODUCT(("var_ncap"=[1]OUT_TransportEnergyCons!$B$4:$B$10000)*1,("-"=[1]OUT_TransportEnergyCons!$C$4:$C$10000)*1,ISNUMBER(SEARCH("tfh*ice*nga*",[1]OUT_TransportEnergyCons!$A$4:$A$10000))*1,[1]OUT_TransportEnergyCons!F$4:F$10000))*1000</f>
        <v>8.0179869294034003E-4</v>
      </c>
      <c r="I2227" s="1" cm="1">
        <f t="array" ref="I2227">(SUMPRODUCT(("var_ncap"=[1]OUT_TransportEnergyCons!$B$4:$B$10000)*1,("-"=[1]OUT_TransportEnergyCons!$C$4:$C$10000)*1,ISNUMBER(SEARCH("tfh*ice*nga*",[1]OUT_TransportEnergyCons!$A$4:$A$10000))*1,[1]OUT_TransportEnergyCons!G$4:G$10000))*1000</f>
        <v>6.6069338207762696E-3</v>
      </c>
      <c r="J2227" s="1" cm="1">
        <f t="array" ref="J2227">(SUMPRODUCT(("var_ncap"=[1]OUT_TransportEnergyCons!$B$4:$B$10000)*1,("-"=[1]OUT_TransportEnergyCons!$C$4:$C$10000)*1,ISNUMBER(SEARCH("tfh*ice*nga*",[1]OUT_TransportEnergyCons!$A$4:$A$10000))*1,[1]OUT_TransportEnergyCons!H$4:H$10000))*1000</f>
        <v>4.0118773768547797E-3</v>
      </c>
      <c r="K2227" s="1" cm="1">
        <f t="array" ref="K2227">(SUMPRODUCT(("var_ncap"=[1]OUT_TransportEnergyCons!$B$4:$B$10000)*1,("-"=[1]OUT_TransportEnergyCons!$C$4:$C$10000)*1,ISNUMBER(SEARCH("tfh*ice*nga*",[1]OUT_TransportEnergyCons!$A$4:$A$10000))*1,[1]OUT_TransportEnergyCons!I$4:I$10000))*1000</f>
        <v>8.2134751594725806E-3</v>
      </c>
    </row>
    <row r="2228" spans="2:11" x14ac:dyDescent="0.35">
      <c r="B2228" s="5" t="str">
        <f t="shared" si="1312"/>
        <v>SPS4</v>
      </c>
      <c r="C2228" s="5" t="str">
        <f t="shared" si="1316"/>
        <v>CH</v>
      </c>
      <c r="D2228" s="2" t="s">
        <v>2192</v>
      </c>
      <c r="E2228" s="2" t="s">
        <v>1859</v>
      </c>
      <c r="F2228" s="3">
        <f t="shared" ref="F2228:K2228" si="1317">SUM(F2229,F2248)</f>
        <v>2.608578734581612E-5</v>
      </c>
      <c r="G2228" s="3">
        <f t="shared" si="1317"/>
        <v>0.72853164421257965</v>
      </c>
      <c r="H2228" s="3">
        <f t="shared" si="1317"/>
        <v>1.741543997739126</v>
      </c>
      <c r="I2228" s="3">
        <f t="shared" si="1317"/>
        <v>1.105440994970452</v>
      </c>
      <c r="J2228" s="3">
        <f t="shared" si="1317"/>
        <v>4.4093558759307516</v>
      </c>
      <c r="K2228" s="3">
        <f t="shared" si="1317"/>
        <v>4.6588743993910953</v>
      </c>
    </row>
    <row r="2229" spans="2:11" x14ac:dyDescent="0.35">
      <c r="B2229" s="5" t="str">
        <f t="shared" si="1312"/>
        <v>SPS4</v>
      </c>
      <c r="C2229" s="5" t="str">
        <f t="shared" si="1316"/>
        <v>CH</v>
      </c>
      <c r="D2229" t="s">
        <v>2375</v>
      </c>
      <c r="E2229" t="str">
        <f>E2228</f>
        <v>GWth/yr.</v>
      </c>
      <c r="F2229" s="1">
        <f t="shared" ref="F2229:K2229" si="1318">SUM(F2230,F2233,F2235,F2238,F2240,F2242,F2244,F2246)</f>
        <v>1.652745433491649E-5</v>
      </c>
      <c r="G2229" s="1">
        <f t="shared" si="1318"/>
        <v>0.57092019088592072</v>
      </c>
      <c r="H2229" s="1">
        <f t="shared" si="1318"/>
        <v>1.5756266024511267</v>
      </c>
      <c r="I2229" s="1">
        <f t="shared" si="1318"/>
        <v>0.86178623498877116</v>
      </c>
      <c r="J2229" s="1">
        <f t="shared" si="1318"/>
        <v>3.5376014261461313</v>
      </c>
      <c r="K2229" s="1">
        <f t="shared" si="1318"/>
        <v>3.4905219041007935</v>
      </c>
    </row>
    <row r="2230" spans="2:11" x14ac:dyDescent="0.35">
      <c r="B2230" s="5" t="str">
        <f t="shared" si="1312"/>
        <v>SPS4</v>
      </c>
      <c r="C2230" s="5" t="str">
        <f t="shared" si="1316"/>
        <v>CH</v>
      </c>
      <c r="D2230" t="s">
        <v>2376</v>
      </c>
      <c r="E2230" t="str">
        <f>E2228</f>
        <v>GWth/yr.</v>
      </c>
      <c r="F2230" s="1">
        <f t="shared" ref="F2230:K2230" si="1319">SUM(F2231:F2232)</f>
        <v>1.2858513805880921E-6</v>
      </c>
      <c r="G2230" s="1">
        <f t="shared" si="1319"/>
        <v>0.27056722857526438</v>
      </c>
      <c r="H2230" s="1">
        <f t="shared" si="1319"/>
        <v>0.89106180774033017</v>
      </c>
      <c r="I2230" s="1">
        <f t="shared" si="1319"/>
        <v>0.47937047374389524</v>
      </c>
      <c r="J2230" s="1">
        <f t="shared" si="1319"/>
        <v>1.6397470946167887</v>
      </c>
      <c r="K2230" s="1">
        <f t="shared" si="1319"/>
        <v>2.3136774329202354</v>
      </c>
    </row>
    <row r="2231" spans="2:11" x14ac:dyDescent="0.35">
      <c r="B2231" s="5" t="str">
        <f t="shared" si="1312"/>
        <v>SPS4</v>
      </c>
      <c r="C2231" s="5" t="str">
        <f t="shared" si="1316"/>
        <v>CH</v>
      </c>
      <c r="D2231" t="s">
        <v>2377</v>
      </c>
      <c r="E2231" t="str">
        <f t="shared" ref="E2231:E2294" si="1320">E2230</f>
        <v>GWth/yr.</v>
      </c>
      <c r="F2231" s="1" cm="1">
        <f t="array" ref="F2231">SUMPRODUCT(([1]OUT_FinalEnergyCons!$B$4:$B$10000="var_ncap")*1,(ISNUMBER(SEARCH("RH*-SHELCBR",[1]OUT_FinalEnergyCons!$A$4:$A$10000)))*1,[1]OUT_FinalEnergyCons!D$4:D$10000)</f>
        <v>6.5129050283112204E-7</v>
      </c>
      <c r="G2231" s="1" cm="1">
        <f t="array" ref="G2231">SUMPRODUCT(([1]OUT_FinalEnergyCons!$B$4:$B$10000="var_ncap")*1,(ISNUMBER(SEARCH("RH*-SHELCBR",[1]OUT_FinalEnergyCons!$A$4:$A$10000)))*1,[1]OUT_FinalEnergyCons!E$4:E$10000)</f>
        <v>4.6193173987995981E-2</v>
      </c>
      <c r="H2231" s="1" cm="1">
        <f t="array" ref="H2231">SUMPRODUCT(([1]OUT_FinalEnergyCons!$B$4:$B$10000="var_ncap")*1,(ISNUMBER(SEARCH("RH*-SHELCBR",[1]OUT_FinalEnergyCons!$A$4:$A$10000)))*1,[1]OUT_FinalEnergyCons!F$4:F$10000)</f>
        <v>3.3984407025421301E-7</v>
      </c>
      <c r="I2231" s="1" cm="1">
        <f t="array" ref="I2231">SUMPRODUCT(([1]OUT_FinalEnergyCons!$B$4:$B$10000="var_ncap")*1,(ISNUMBER(SEARCH("RH*-SHELCBR",[1]OUT_FinalEnergyCons!$A$4:$A$10000)))*1,[1]OUT_FinalEnergyCons!G$4:G$10000)</f>
        <v>6.2099971582751602E-7</v>
      </c>
      <c r="J2231" s="1" cm="1">
        <f t="array" ref="J2231">SUMPRODUCT(([1]OUT_FinalEnergyCons!$B$4:$B$10000="var_ncap")*1,(ISNUMBER(SEARCH("RH*-SHELCBR",[1]OUT_FinalEnergyCons!$A$4:$A$10000)))*1,[1]OUT_FinalEnergyCons!H$4:H$10000)</f>
        <v>7.5357176078655807E-4</v>
      </c>
      <c r="K2231" s="1" cm="1">
        <f t="array" ref="K2231">SUMPRODUCT(([1]OUT_FinalEnergyCons!$B$4:$B$10000="var_ncap")*1,(ISNUMBER(SEARCH("RH*-SHELCBR",[1]OUT_FinalEnergyCons!$A$4:$A$10000)))*1,[1]OUT_FinalEnergyCons!I$4:I$10000)</f>
        <v>1.3099336284689048E-5</v>
      </c>
    </row>
    <row r="2232" spans="2:11" x14ac:dyDescent="0.35">
      <c r="B2232" s="5" t="str">
        <f t="shared" si="1312"/>
        <v>SPS4</v>
      </c>
      <c r="C2232" s="5" t="str">
        <f t="shared" si="1316"/>
        <v>CH</v>
      </c>
      <c r="D2232" t="s">
        <v>2378</v>
      </c>
      <c r="E2232" t="str">
        <f t="shared" si="1320"/>
        <v>GWth/yr.</v>
      </c>
      <c r="F2232" s="1" cm="1">
        <f t="array" ref="F2232">SUMPRODUCT(([1]OUT_FinalEnergyCons!$B$4:$B$10000="var_ncap")*1,ISNUMBER(SEARCH("RH*-SHELCHP",[1]OUT_FinalEnergyCons!$A$4:$A$10000))*1,[1]OUT_FinalEnergyCons!D$4:D$10000)</f>
        <v>6.3456087775696994E-7</v>
      </c>
      <c r="G2232" s="1" cm="1">
        <f t="array" ref="G2232">SUMPRODUCT(([1]OUT_FinalEnergyCons!$B$4:$B$10000="var_ncap")*1,ISNUMBER(SEARCH("RH*-SHELCHP",[1]OUT_FinalEnergyCons!$A$4:$A$10000))*1,[1]OUT_FinalEnergyCons!E$4:E$10000)</f>
        <v>0.22437405458726839</v>
      </c>
      <c r="H2232" s="1" cm="1">
        <f t="array" ref="H2232">SUMPRODUCT(([1]OUT_FinalEnergyCons!$B$4:$B$10000="var_ncap")*1,ISNUMBER(SEARCH("RH*-SHELCHP",[1]OUT_FinalEnergyCons!$A$4:$A$10000))*1,[1]OUT_FinalEnergyCons!F$4:F$10000)</f>
        <v>0.89106146789625995</v>
      </c>
      <c r="I2232" s="1" cm="1">
        <f t="array" ref="I2232">SUMPRODUCT(([1]OUT_FinalEnergyCons!$B$4:$B$10000="var_ncap")*1,ISNUMBER(SEARCH("RH*-SHELCHP",[1]OUT_FinalEnergyCons!$A$4:$A$10000))*1,[1]OUT_FinalEnergyCons!G$4:G$10000)</f>
        <v>0.47936985274417943</v>
      </c>
      <c r="J2232" s="1" cm="1">
        <f t="array" ref="J2232">SUMPRODUCT(([1]OUT_FinalEnergyCons!$B$4:$B$10000="var_ncap")*1,ISNUMBER(SEARCH("RH*-SHELCHP",[1]OUT_FinalEnergyCons!$A$4:$A$10000))*1,[1]OUT_FinalEnergyCons!H$4:H$10000)</f>
        <v>1.6389935228560022</v>
      </c>
      <c r="K2232" s="1" cm="1">
        <f t="array" ref="K2232">SUMPRODUCT(([1]OUT_FinalEnergyCons!$B$4:$B$10000="var_ncap")*1,ISNUMBER(SEARCH("RH*-SHELCHP",[1]OUT_FinalEnergyCons!$A$4:$A$10000))*1,[1]OUT_FinalEnergyCons!I$4:I$10000)</f>
        <v>2.3136643335839508</v>
      </c>
    </row>
    <row r="2233" spans="2:11" x14ac:dyDescent="0.35">
      <c r="B2233" s="5" t="str">
        <f t="shared" si="1312"/>
        <v>SPS4</v>
      </c>
      <c r="C2233" s="5" t="str">
        <f t="shared" si="1316"/>
        <v>CH</v>
      </c>
      <c r="D2233" t="s">
        <v>2379</v>
      </c>
      <c r="E2233" t="str">
        <f t="shared" si="1320"/>
        <v>GWth/yr.</v>
      </c>
      <c r="F2233" s="1">
        <f t="shared" ref="F2233:K2233" si="1321">F2234</f>
        <v>0</v>
      </c>
      <c r="G2233" s="1">
        <f t="shared" si="1321"/>
        <v>3.5451658460141734E-5</v>
      </c>
      <c r="H2233" s="1">
        <f t="shared" si="1321"/>
        <v>0.10671707051991412</v>
      </c>
      <c r="I2233" s="1">
        <f t="shared" si="1321"/>
        <v>3.7168081795633503E-7</v>
      </c>
      <c r="J2233" s="1">
        <f t="shared" si="1321"/>
        <v>0.53778044688881799</v>
      </c>
      <c r="K2233" s="1">
        <f t="shared" si="1321"/>
        <v>2.1161312353900351E-7</v>
      </c>
    </row>
    <row r="2234" spans="2:11" x14ac:dyDescent="0.35">
      <c r="B2234" s="5" t="str">
        <f t="shared" si="1312"/>
        <v>SPS4</v>
      </c>
      <c r="C2234" s="5" t="str">
        <f t="shared" si="1316"/>
        <v>CH</v>
      </c>
      <c r="D2234" t="s">
        <v>2380</v>
      </c>
      <c r="E2234" t="str">
        <f t="shared" si="1320"/>
        <v>GWth/yr.</v>
      </c>
      <c r="F2234" s="1" cm="1">
        <f t="array" ref="F2234">SUMPRODUCT(([1]OUT_FinalEnergyCons!$B$4:$B$10000="var_ncap")*1, (ISNUMBER(SEARCH("RH*-SHLFOBR",[1]OUT_FinalEnergyCons!$A$4:$A$10000)))*1,[1]OUT_FinalEnergyCons!D$4:D$10000)</f>
        <v>0</v>
      </c>
      <c r="G2234" s="1" cm="1">
        <f t="array" ref="G2234">SUMPRODUCT(([1]OUT_FinalEnergyCons!$B$4:$B$10000="var_ncap")*1, (ISNUMBER(SEARCH("RH*-SHLFOBR",[1]OUT_FinalEnergyCons!$A$4:$A$10000)))*1,[1]OUT_FinalEnergyCons!E$4:E$10000)</f>
        <v>3.5451658460141734E-5</v>
      </c>
      <c r="H2234" s="1" cm="1">
        <f t="array" ref="H2234">SUMPRODUCT(([1]OUT_FinalEnergyCons!$B$4:$B$10000="var_ncap")*1, (ISNUMBER(SEARCH("RH*-SHLFOBR",[1]OUT_FinalEnergyCons!$A$4:$A$10000)))*1,[1]OUT_FinalEnergyCons!F$4:F$10000)</f>
        <v>0.10671707051991412</v>
      </c>
      <c r="I2234" s="1" cm="1">
        <f t="array" ref="I2234">SUMPRODUCT(([1]OUT_FinalEnergyCons!$B$4:$B$10000="var_ncap")*1, (ISNUMBER(SEARCH("RH*-SHLFOBR",[1]OUT_FinalEnergyCons!$A$4:$A$10000)))*1,[1]OUT_FinalEnergyCons!G$4:G$10000)</f>
        <v>3.7168081795633503E-7</v>
      </c>
      <c r="J2234" s="1" cm="1">
        <f t="array" ref="J2234">SUMPRODUCT(([1]OUT_FinalEnergyCons!$B$4:$B$10000="var_ncap")*1, (ISNUMBER(SEARCH("RH*-SHLFOBR",[1]OUT_FinalEnergyCons!$A$4:$A$10000)))*1,[1]OUT_FinalEnergyCons!H$4:H$10000)</f>
        <v>0.53778044688881799</v>
      </c>
      <c r="K2234" s="1" cm="1">
        <f t="array" ref="K2234">SUMPRODUCT(([1]OUT_FinalEnergyCons!$B$4:$B$10000="var_ncap")*1, (ISNUMBER(SEARCH("RH*-SHLFOBR",[1]OUT_FinalEnergyCons!$A$4:$A$10000)))*1,[1]OUT_FinalEnergyCons!I$4:I$10000)</f>
        <v>2.1161312353900351E-7</v>
      </c>
    </row>
    <row r="2235" spans="2:11" x14ac:dyDescent="0.35">
      <c r="B2235" s="5" t="str">
        <f t="shared" si="1312"/>
        <v>SPS4</v>
      </c>
      <c r="C2235" s="5" t="str">
        <f t="shared" si="1316"/>
        <v>CH</v>
      </c>
      <c r="D2235" t="s">
        <v>2381</v>
      </c>
      <c r="E2235" t="str">
        <f t="shared" si="1320"/>
        <v>GWth/yr.</v>
      </c>
      <c r="F2235" s="1">
        <f t="shared" ref="F2235:K2235" si="1322">SUM(F2236:F2237)</f>
        <v>8.5884377549690205E-8</v>
      </c>
      <c r="G2235" s="1">
        <f t="shared" si="1322"/>
        <v>0.18090422257256056</v>
      </c>
      <c r="H2235" s="1">
        <f t="shared" si="1322"/>
        <v>0.53182177237817374</v>
      </c>
      <c r="I2235" s="1">
        <f t="shared" si="1322"/>
        <v>0.38210123404203861</v>
      </c>
      <c r="J2235" s="1">
        <f t="shared" si="1322"/>
        <v>1.1633665825972854</v>
      </c>
      <c r="K2235" s="1">
        <f t="shared" si="1322"/>
        <v>0.99927458158472171</v>
      </c>
    </row>
    <row r="2236" spans="2:11" x14ac:dyDescent="0.35">
      <c r="B2236" s="5" t="str">
        <f t="shared" si="1312"/>
        <v>SPS4</v>
      </c>
      <c r="C2236" s="5" t="str">
        <f t="shared" si="1316"/>
        <v>CH</v>
      </c>
      <c r="D2236" t="s">
        <v>2382</v>
      </c>
      <c r="E2236" t="str">
        <f t="shared" si="1320"/>
        <v>GWth/yr.</v>
      </c>
      <c r="F2236" s="1" cm="1">
        <f t="array" ref="F2236">SUMPRODUCT(([1]OUT_FinalEnergyCons!$B$4:$B$10000="var_ncap")*1, (ISNUMBER(SEARCH("RH*-SHNGABR",[1]OUT_FinalEnergyCons!$A$4:$A$10000)))*1,[1]OUT_FinalEnergyCons!D$4:D$10000)</f>
        <v>0</v>
      </c>
      <c r="G2236" s="1" cm="1">
        <f t="array" ref="G2236">SUMPRODUCT(([1]OUT_FinalEnergyCons!$B$4:$B$10000="var_ncap")*1, (ISNUMBER(SEARCH("RH*-SHNGABR",[1]OUT_FinalEnergyCons!$A$4:$A$10000)))*1,[1]OUT_FinalEnergyCons!E$4:E$10000)</f>
        <v>0.18090275995250027</v>
      </c>
      <c r="H2236" s="1" cm="1">
        <f t="array" ref="H2236">SUMPRODUCT(([1]OUT_FinalEnergyCons!$B$4:$B$10000="var_ncap")*1, (ISNUMBER(SEARCH("RH*-SHNGABR",[1]OUT_FinalEnergyCons!$A$4:$A$10000)))*1,[1]OUT_FinalEnergyCons!F$4:F$10000)</f>
        <v>0.19268835332142312</v>
      </c>
      <c r="I2236" s="1" cm="1">
        <f t="array" ref="I2236">SUMPRODUCT(([1]OUT_FinalEnergyCons!$B$4:$B$10000="var_ncap")*1, (ISNUMBER(SEARCH("RH*-SHNGABR",[1]OUT_FinalEnergyCons!$A$4:$A$10000)))*1,[1]OUT_FinalEnergyCons!G$4:G$10000)</f>
        <v>6.635638251184119E-4</v>
      </c>
      <c r="J2236" s="1" cm="1">
        <f t="array" ref="J2236">SUMPRODUCT(([1]OUT_FinalEnergyCons!$B$4:$B$10000="var_ncap")*1, (ISNUMBER(SEARCH("RH*-SHNGABR",[1]OUT_FinalEnergyCons!$A$4:$A$10000)))*1,[1]OUT_FinalEnergyCons!H$4:H$10000)</f>
        <v>0.57271649478272157</v>
      </c>
      <c r="K2236" s="1" cm="1">
        <f t="array" ref="K2236">SUMPRODUCT(([1]OUT_FinalEnergyCons!$B$4:$B$10000="var_ncap")*1, (ISNUMBER(SEARCH("RH*-SHNGABR",[1]OUT_FinalEnergyCons!$A$4:$A$10000)))*1,[1]OUT_FinalEnergyCons!I$4:I$10000)</f>
        <v>1.0556375718205207E-2</v>
      </c>
    </row>
    <row r="2237" spans="2:11" x14ac:dyDescent="0.35">
      <c r="B2237" s="5" t="str">
        <f t="shared" si="1312"/>
        <v>SPS4</v>
      </c>
      <c r="C2237" s="5" t="str">
        <f t="shared" si="1316"/>
        <v>CH</v>
      </c>
      <c r="D2237" t="s">
        <v>2383</v>
      </c>
      <c r="E2237" t="str">
        <f t="shared" si="1320"/>
        <v>GWth/yr.</v>
      </c>
      <c r="F2237" s="1" cm="1">
        <f t="array" ref="F2237">SUMPRODUCT(([1]OUT_FinalEnergyCons!$B$4:$B$10000="var_ncap")*1,ISNUMBER(SEARCH("RH*-SHngahp",[1]OUT_FinalEnergyCons!$A$4:$A$10000))*1,[1]OUT_FinalEnergyCons!D$4:D$10000)</f>
        <v>8.5884377549690205E-8</v>
      </c>
      <c r="G2237" s="1" cm="1">
        <f t="array" ref="G2237">SUMPRODUCT(([1]OUT_FinalEnergyCons!$B$4:$B$10000="var_ncap")*1,ISNUMBER(SEARCH("RH*-SHngahp",[1]OUT_FinalEnergyCons!$A$4:$A$10000))*1,[1]OUT_FinalEnergyCons!E$4:E$10000)</f>
        <v>1.4626200602778341E-6</v>
      </c>
      <c r="H2237" s="1" cm="1">
        <f t="array" ref="H2237">SUMPRODUCT(([1]OUT_FinalEnergyCons!$B$4:$B$10000="var_ncap")*1,ISNUMBER(SEARCH("RH*-SHngahp",[1]OUT_FinalEnergyCons!$A$4:$A$10000))*1,[1]OUT_FinalEnergyCons!F$4:F$10000)</f>
        <v>0.33913341905675065</v>
      </c>
      <c r="I2237" s="1" cm="1">
        <f t="array" ref="I2237">SUMPRODUCT(([1]OUT_FinalEnergyCons!$B$4:$B$10000="var_ncap")*1,ISNUMBER(SEARCH("RH*-SHngahp",[1]OUT_FinalEnergyCons!$A$4:$A$10000))*1,[1]OUT_FinalEnergyCons!G$4:G$10000)</f>
        <v>0.38143767021692021</v>
      </c>
      <c r="J2237" s="1" cm="1">
        <f t="array" ref="J2237">SUMPRODUCT(([1]OUT_FinalEnergyCons!$B$4:$B$10000="var_ncap")*1,ISNUMBER(SEARCH("RH*-SHngahp",[1]OUT_FinalEnergyCons!$A$4:$A$10000))*1,[1]OUT_FinalEnergyCons!H$4:H$10000)</f>
        <v>0.59065008781456374</v>
      </c>
      <c r="K2237" s="1" cm="1">
        <f t="array" ref="K2237">SUMPRODUCT(([1]OUT_FinalEnergyCons!$B$4:$B$10000="var_ncap")*1,ISNUMBER(SEARCH("RH*-SHngahp",[1]OUT_FinalEnergyCons!$A$4:$A$10000))*1,[1]OUT_FinalEnergyCons!I$4:I$10000)</f>
        <v>0.98871820586651649</v>
      </c>
    </row>
    <row r="2238" spans="2:11" x14ac:dyDescent="0.35">
      <c r="B2238" s="5" t="str">
        <f t="shared" ref="B2238:B2301" si="1323">B2237</f>
        <v>SPS4</v>
      </c>
      <c r="C2238" s="5" t="str">
        <f t="shared" si="1316"/>
        <v>CH</v>
      </c>
      <c r="D2238" t="s">
        <v>2384</v>
      </c>
      <c r="E2238" t="str">
        <f t="shared" si="1320"/>
        <v>GWth/yr.</v>
      </c>
      <c r="F2238" s="1">
        <f t="shared" ref="F2238:K2238" si="1324">F2239</f>
        <v>0</v>
      </c>
      <c r="G2238" s="1">
        <f t="shared" si="1324"/>
        <v>0</v>
      </c>
      <c r="H2238" s="1">
        <f t="shared" si="1324"/>
        <v>0</v>
      </c>
      <c r="I2238" s="1">
        <f t="shared" si="1324"/>
        <v>0</v>
      </c>
      <c r="J2238" s="1">
        <f t="shared" si="1324"/>
        <v>0</v>
      </c>
      <c r="K2238" s="1">
        <f t="shared" si="1324"/>
        <v>0</v>
      </c>
    </row>
    <row r="2239" spans="2:11" x14ac:dyDescent="0.35">
      <c r="B2239" s="5" t="str">
        <f t="shared" si="1323"/>
        <v>SPS4</v>
      </c>
      <c r="C2239" s="5" t="str">
        <f t="shared" si="1316"/>
        <v>CH</v>
      </c>
      <c r="D2239" t="s">
        <v>2385</v>
      </c>
      <c r="E2239" t="str">
        <f t="shared" si="1320"/>
        <v>GWth/yr.</v>
      </c>
      <c r="F2239" s="1" cm="1">
        <f t="array" ref="F2239">SUMPRODUCT(([1]OUT_FinalEnergyCons!$B$4:$B$10000="var_ncap")*1, (ISNUMBER(SEARCH("RH*-SHCOABR",[1]OUT_FinalEnergyCons!$A$4:$A$10000)))*1,[1]OUT_FinalEnergyCons!D$4:D$10000)</f>
        <v>0</v>
      </c>
      <c r="G2239" s="1" cm="1">
        <f t="array" ref="G2239">SUMPRODUCT(([1]OUT_FinalEnergyCons!$B$4:$B$10000="var_ncap")*1, (ISNUMBER(SEARCH("RH*-SHCOABR",[1]OUT_FinalEnergyCons!$A$4:$A$10000)))*1,[1]OUT_FinalEnergyCons!E$4:E$10000)</f>
        <v>0</v>
      </c>
      <c r="H2239" s="1" cm="1">
        <f t="array" ref="H2239">SUMPRODUCT(([1]OUT_FinalEnergyCons!$B$4:$B$10000="var_ncap")*1, (ISNUMBER(SEARCH("RH*-SHCOABR",[1]OUT_FinalEnergyCons!$A$4:$A$10000)))*1,[1]OUT_FinalEnergyCons!F$4:F$10000)</f>
        <v>0</v>
      </c>
      <c r="I2239" s="1" cm="1">
        <f t="array" ref="I2239">SUMPRODUCT(([1]OUT_FinalEnergyCons!$B$4:$B$10000="var_ncap")*1, (ISNUMBER(SEARCH("RH*-SHCOABR",[1]OUT_FinalEnergyCons!$A$4:$A$10000)))*1,[1]OUT_FinalEnergyCons!G$4:G$10000)</f>
        <v>0</v>
      </c>
      <c r="J2239" s="1" cm="1">
        <f t="array" ref="J2239">SUMPRODUCT(([1]OUT_FinalEnergyCons!$B$4:$B$10000="var_ncap")*1, (ISNUMBER(SEARCH("RH*-SHCOABR",[1]OUT_FinalEnergyCons!$A$4:$A$10000)))*1,[1]OUT_FinalEnergyCons!H$4:H$10000)</f>
        <v>0</v>
      </c>
      <c r="K2239" s="1" cm="1">
        <f t="array" ref="K2239">SUMPRODUCT(([1]OUT_FinalEnergyCons!$B$4:$B$10000="var_ncap")*1, (ISNUMBER(SEARCH("RH*-SHCOABR",[1]OUT_FinalEnergyCons!$A$4:$A$10000)))*1,[1]OUT_FinalEnergyCons!I$4:I$10000)</f>
        <v>0</v>
      </c>
    </row>
    <row r="2240" spans="2:11" x14ac:dyDescent="0.35">
      <c r="B2240" s="5" t="str">
        <f t="shared" si="1323"/>
        <v>SPS4</v>
      </c>
      <c r="C2240" s="5" t="str">
        <f t="shared" si="1316"/>
        <v>CH</v>
      </c>
      <c r="D2240" t="s">
        <v>2386</v>
      </c>
      <c r="E2240" t="str">
        <f t="shared" si="1320"/>
        <v>GWth/yr.</v>
      </c>
      <c r="F2240" s="1">
        <f t="shared" ref="F2240:K2240" si="1325">F2241</f>
        <v>8.3651776724662701E-7</v>
      </c>
      <c r="G2240" s="1">
        <f t="shared" si="1325"/>
        <v>6.0603660091477031E-2</v>
      </c>
      <c r="H2240" s="1">
        <f t="shared" si="1325"/>
        <v>4.5782861795406249E-2</v>
      </c>
      <c r="I2240" s="1">
        <f t="shared" si="1325"/>
        <v>6.3716177353560598E-7</v>
      </c>
      <c r="J2240" s="1">
        <f t="shared" si="1325"/>
        <v>0.16015089147841111</v>
      </c>
      <c r="K2240" s="1">
        <f t="shared" si="1325"/>
        <v>0.14025217748005789</v>
      </c>
    </row>
    <row r="2241" spans="2:11" x14ac:dyDescent="0.35">
      <c r="B2241" s="5" t="str">
        <f t="shared" si="1323"/>
        <v>SPS4</v>
      </c>
      <c r="C2241" s="5" t="str">
        <f t="shared" si="1316"/>
        <v>CH</v>
      </c>
      <c r="D2241" t="s">
        <v>2387</v>
      </c>
      <c r="E2241" t="str">
        <f t="shared" si="1320"/>
        <v>GWth/yr.</v>
      </c>
      <c r="F2241" s="1" cm="1">
        <f t="array" ref="F2241">SUMPRODUCT(([1]OUT_FinalEnergyCons!$B$4:$B$10000="var_ncap")*1, (ISNUMBER(SEARCH("RH*-SHWODBR",[1]OUT_FinalEnergyCons!$A$4:$A$10000)))*1,[1]OUT_FinalEnergyCons!D$4:D$10000)</f>
        <v>8.3651776724662701E-7</v>
      </c>
      <c r="G2241" s="1" cm="1">
        <f t="array" ref="G2241">SUMPRODUCT(([1]OUT_FinalEnergyCons!$B$4:$B$10000="var_ncap")*1, (ISNUMBER(SEARCH("RH*-SHWODBR",[1]OUT_FinalEnergyCons!$A$4:$A$10000)))*1,[1]OUT_FinalEnergyCons!E$4:E$10000)</f>
        <v>6.0603660091477031E-2</v>
      </c>
      <c r="H2241" s="1" cm="1">
        <f t="array" ref="H2241">SUMPRODUCT(([1]OUT_FinalEnergyCons!$B$4:$B$10000="var_ncap")*1, (ISNUMBER(SEARCH("RH*-SHWODBR",[1]OUT_FinalEnergyCons!$A$4:$A$10000)))*1,[1]OUT_FinalEnergyCons!F$4:F$10000)</f>
        <v>4.5782861795406249E-2</v>
      </c>
      <c r="I2241" s="1" cm="1">
        <f t="array" ref="I2241">SUMPRODUCT(([1]OUT_FinalEnergyCons!$B$4:$B$10000="var_ncap")*1, (ISNUMBER(SEARCH("RH*-SHWODBR",[1]OUT_FinalEnergyCons!$A$4:$A$10000)))*1,[1]OUT_FinalEnergyCons!G$4:G$10000)</f>
        <v>6.3716177353560598E-7</v>
      </c>
      <c r="J2241" s="1" cm="1">
        <f t="array" ref="J2241">SUMPRODUCT(([1]OUT_FinalEnergyCons!$B$4:$B$10000="var_ncap")*1, (ISNUMBER(SEARCH("RH*-SHWODBR",[1]OUT_FinalEnergyCons!$A$4:$A$10000)))*1,[1]OUT_FinalEnergyCons!H$4:H$10000)</f>
        <v>0.16015089147841111</v>
      </c>
      <c r="K2241" s="1" cm="1">
        <f t="array" ref="K2241">SUMPRODUCT(([1]OUT_FinalEnergyCons!$B$4:$B$10000="var_ncap")*1, (ISNUMBER(SEARCH("RH*-SHWODBR",[1]OUT_FinalEnergyCons!$A$4:$A$10000)))*1,[1]OUT_FinalEnergyCons!I$4:I$10000)</f>
        <v>0.14025217748005789</v>
      </c>
    </row>
    <row r="2242" spans="2:11" x14ac:dyDescent="0.35">
      <c r="B2242" s="5" t="str">
        <f t="shared" si="1323"/>
        <v>SPS4</v>
      </c>
      <c r="C2242" s="5" t="str">
        <f t="shared" si="1316"/>
        <v>CH</v>
      </c>
      <c r="D2242" t="s">
        <v>2388</v>
      </c>
      <c r="E2242" t="str">
        <f t="shared" si="1320"/>
        <v>GWth/yr.</v>
      </c>
      <c r="F2242" s="1">
        <f t="shared" ref="F2242:K2242" si="1326">F2243</f>
        <v>1.32440737583848E-6</v>
      </c>
      <c r="G2242" s="1">
        <f t="shared" si="1326"/>
        <v>3.5930935232477465E-2</v>
      </c>
      <c r="H2242" s="1">
        <f t="shared" si="1326"/>
        <v>2.3242567265223168E-4</v>
      </c>
      <c r="I2242" s="1">
        <f t="shared" si="1326"/>
        <v>3.0023209120137506E-4</v>
      </c>
      <c r="J2242" s="1">
        <f t="shared" si="1326"/>
        <v>3.0617839604307289E-2</v>
      </c>
      <c r="K2242" s="1">
        <f t="shared" si="1326"/>
        <v>3.5430984102617927E-2</v>
      </c>
    </row>
    <row r="2243" spans="2:11" x14ac:dyDescent="0.35">
      <c r="B2243" s="5" t="str">
        <f t="shared" si="1323"/>
        <v>SPS4</v>
      </c>
      <c r="C2243" s="5" t="str">
        <f t="shared" si="1316"/>
        <v>CH</v>
      </c>
      <c r="D2243" t="s">
        <v>2389</v>
      </c>
      <c r="E2243" t="str">
        <f t="shared" si="1320"/>
        <v>GWth/yr.</v>
      </c>
      <c r="F2243" s="1" cm="1">
        <f t="array" ref="F2243">SUMPRODUCT(([1]OUT_FinalEnergyCons!$B$4:$B$10000="var_ncap")*1, (ISNUMBER(SEARCH("RH*-SHPLTBR",[1]OUT_FinalEnergyCons!$A$4:$A$10000)))*1,[1]OUT_FinalEnergyCons!D$4:D$10000)</f>
        <v>1.32440737583848E-6</v>
      </c>
      <c r="G2243" s="1" cm="1">
        <f t="array" ref="G2243">SUMPRODUCT(([1]OUT_FinalEnergyCons!$B$4:$B$10000="var_ncap")*1, (ISNUMBER(SEARCH("RH*-SHPLTBR",[1]OUT_FinalEnergyCons!$A$4:$A$10000)))*1,[1]OUT_FinalEnergyCons!E$4:E$10000)</f>
        <v>3.5930935232477465E-2</v>
      </c>
      <c r="H2243" s="1" cm="1">
        <f t="array" ref="H2243">SUMPRODUCT(([1]OUT_FinalEnergyCons!$B$4:$B$10000="var_ncap")*1, (ISNUMBER(SEARCH("RH*-SHPLTBR",[1]OUT_FinalEnergyCons!$A$4:$A$10000)))*1,[1]OUT_FinalEnergyCons!F$4:F$10000)</f>
        <v>2.3242567265223168E-4</v>
      </c>
      <c r="I2243" s="1" cm="1">
        <f t="array" ref="I2243">SUMPRODUCT(([1]OUT_FinalEnergyCons!$B$4:$B$10000="var_ncap")*1, (ISNUMBER(SEARCH("RH*-SHPLTBR",[1]OUT_FinalEnergyCons!$A$4:$A$10000)))*1,[1]OUT_FinalEnergyCons!G$4:G$10000)</f>
        <v>3.0023209120137506E-4</v>
      </c>
      <c r="J2243" s="1" cm="1">
        <f t="array" ref="J2243">SUMPRODUCT(([1]OUT_FinalEnergyCons!$B$4:$B$10000="var_ncap")*1, (ISNUMBER(SEARCH("RH*-SHPLTBR",[1]OUT_FinalEnergyCons!$A$4:$A$10000)))*1,[1]OUT_FinalEnergyCons!H$4:H$10000)</f>
        <v>3.0617839604307289E-2</v>
      </c>
      <c r="K2243" s="1" cm="1">
        <f t="array" ref="K2243">SUMPRODUCT(([1]OUT_FinalEnergyCons!$B$4:$B$10000="var_ncap")*1, (ISNUMBER(SEARCH("RH*-SHPLTBR",[1]OUT_FinalEnergyCons!$A$4:$A$10000)))*1,[1]OUT_FinalEnergyCons!I$4:I$10000)</f>
        <v>3.5430984102617927E-2</v>
      </c>
    </row>
    <row r="2244" spans="2:11" x14ac:dyDescent="0.35">
      <c r="B2244" s="5" t="str">
        <f t="shared" si="1323"/>
        <v>SPS4</v>
      </c>
      <c r="C2244" s="5" t="str">
        <f t="shared" si="1316"/>
        <v>CH</v>
      </c>
      <c r="D2244" t="s">
        <v>2390</v>
      </c>
      <c r="E2244" t="str">
        <f t="shared" si="1320"/>
        <v>GWth/yr.</v>
      </c>
      <c r="F2244" s="1">
        <f t="shared" ref="F2244:K2244" si="1327">F2245</f>
        <v>1.29947934336936E-5</v>
      </c>
      <c r="G2244" s="1">
        <f t="shared" si="1327"/>
        <v>2.2878692755681093E-2</v>
      </c>
      <c r="H2244" s="1">
        <f t="shared" si="1327"/>
        <v>1.0664344650145567E-5</v>
      </c>
      <c r="I2244" s="1">
        <f t="shared" si="1327"/>
        <v>1.3286269044449511E-5</v>
      </c>
      <c r="J2244" s="1">
        <f t="shared" si="1327"/>
        <v>5.9385709605210835E-3</v>
      </c>
      <c r="K2244" s="1">
        <f t="shared" si="1327"/>
        <v>1.886516400036807E-3</v>
      </c>
    </row>
    <row r="2245" spans="2:11" x14ac:dyDescent="0.35">
      <c r="B2245" s="5" t="str">
        <f t="shared" si="1323"/>
        <v>SPS4</v>
      </c>
      <c r="C2245" s="5" t="str">
        <f t="shared" si="1316"/>
        <v>CH</v>
      </c>
      <c r="D2245" t="s">
        <v>2391</v>
      </c>
      <c r="E2245" t="str">
        <f t="shared" si="1320"/>
        <v>GWth/yr.</v>
      </c>
      <c r="F2245" s="1" cm="1">
        <f t="array" ref="F2245">SUMPRODUCT(([1]OUT_FinalEnergyCons!$B$4:$B$10000="var_ncap")*1, (ISNUMBER(SEARCH("RH*-SHSOLBR",[1]OUT_FinalEnergyCons!$A$4:$A$10000)))*1,[1]OUT_FinalEnergyCons!D$4:D$10000)</f>
        <v>1.29947934336936E-5</v>
      </c>
      <c r="G2245" s="1" cm="1">
        <f t="array" ref="G2245">SUMPRODUCT(([1]OUT_FinalEnergyCons!$B$4:$B$10000="var_ncap")*1, (ISNUMBER(SEARCH("RH*-SHSOLBR",[1]OUT_FinalEnergyCons!$A$4:$A$10000)))*1,[1]OUT_FinalEnergyCons!E$4:E$10000)</f>
        <v>2.2878692755681093E-2</v>
      </c>
      <c r="H2245" s="1" cm="1">
        <f t="array" ref="H2245">SUMPRODUCT(([1]OUT_FinalEnergyCons!$B$4:$B$10000="var_ncap")*1, (ISNUMBER(SEARCH("RH*-SHSOLBR",[1]OUT_FinalEnergyCons!$A$4:$A$10000)))*1,[1]OUT_FinalEnergyCons!F$4:F$10000)</f>
        <v>1.0664344650145567E-5</v>
      </c>
      <c r="I2245" s="1" cm="1">
        <f t="array" ref="I2245">SUMPRODUCT(([1]OUT_FinalEnergyCons!$B$4:$B$10000="var_ncap")*1, (ISNUMBER(SEARCH("RH*-SHSOLBR",[1]OUT_FinalEnergyCons!$A$4:$A$10000)))*1,[1]OUT_FinalEnergyCons!G$4:G$10000)</f>
        <v>1.3286269044449511E-5</v>
      </c>
      <c r="J2245" s="1" cm="1">
        <f t="array" ref="J2245">SUMPRODUCT(([1]OUT_FinalEnergyCons!$B$4:$B$10000="var_ncap")*1, (ISNUMBER(SEARCH("RH*-SHSOLBR",[1]OUT_FinalEnergyCons!$A$4:$A$10000)))*1,[1]OUT_FinalEnergyCons!H$4:H$10000)</f>
        <v>5.9385709605210835E-3</v>
      </c>
      <c r="K2245" s="1" cm="1">
        <f t="array" ref="K2245">SUMPRODUCT(([1]OUT_FinalEnergyCons!$B$4:$B$10000="var_ncap")*1, (ISNUMBER(SEARCH("RH*-SHSOLBR",[1]OUT_FinalEnergyCons!$A$4:$A$10000)))*1,[1]OUT_FinalEnergyCons!I$4:I$10000)</f>
        <v>1.886516400036807E-3</v>
      </c>
    </row>
    <row r="2246" spans="2:11" x14ac:dyDescent="0.35">
      <c r="B2246" s="5" t="str">
        <f t="shared" si="1323"/>
        <v>SPS4</v>
      </c>
      <c r="C2246" s="5" t="str">
        <f t="shared" si="1316"/>
        <v>CH</v>
      </c>
      <c r="D2246" t="s">
        <v>2392</v>
      </c>
      <c r="E2246" t="str">
        <f t="shared" si="1320"/>
        <v>GWth/yr.</v>
      </c>
      <c r="F2246" s="1">
        <f t="shared" ref="F2246:K2246" si="1328">F2247</f>
        <v>0</v>
      </c>
      <c r="G2246" s="1">
        <f t="shared" si="1328"/>
        <v>0</v>
      </c>
      <c r="H2246" s="1">
        <f t="shared" si="1328"/>
        <v>0</v>
      </c>
      <c r="I2246" s="1">
        <f t="shared" si="1328"/>
        <v>0</v>
      </c>
      <c r="J2246" s="1">
        <f t="shared" si="1328"/>
        <v>0</v>
      </c>
      <c r="K2246" s="1">
        <f t="shared" si="1328"/>
        <v>0</v>
      </c>
    </row>
    <row r="2247" spans="2:11" x14ac:dyDescent="0.35">
      <c r="B2247" s="5" t="str">
        <f t="shared" si="1323"/>
        <v>SPS4</v>
      </c>
      <c r="C2247" s="5" t="str">
        <f t="shared" si="1316"/>
        <v>CH</v>
      </c>
      <c r="D2247" t="s">
        <v>2393</v>
      </c>
      <c r="E2247" t="str">
        <f t="shared" si="1320"/>
        <v>GWth/yr.</v>
      </c>
      <c r="F2247" s="1" cm="1">
        <f t="array" ref="F2247">SUMPRODUCT(([1]OUT_FinalEnergyCons!$B$4:$B$10000="var_ncap")*1, (ISNUMBER(SEARCH("RH*-SHH2BR",[1]OUT_FinalEnergyCons!$A$4:$A$10000)))*1,[1]OUT_FinalEnergyCons!D$4:D$10000)</f>
        <v>0</v>
      </c>
      <c r="G2247" s="1" cm="1">
        <f t="array" ref="G2247">SUMPRODUCT(([1]OUT_FinalEnergyCons!$B$4:$B$10000="var_ncap")*1, (ISNUMBER(SEARCH("RH*-SHH2BR",[1]OUT_FinalEnergyCons!$A$4:$A$10000)))*1,[1]OUT_FinalEnergyCons!E$4:E$10000)</f>
        <v>0</v>
      </c>
      <c r="H2247" s="1" cm="1">
        <f t="array" ref="H2247">SUMPRODUCT(([1]OUT_FinalEnergyCons!$B$4:$B$10000="var_ncap")*1, (ISNUMBER(SEARCH("RH*-SHH2BR",[1]OUT_FinalEnergyCons!$A$4:$A$10000)))*1,[1]OUT_FinalEnergyCons!F$4:F$10000)</f>
        <v>0</v>
      </c>
      <c r="I2247" s="1" cm="1">
        <f t="array" ref="I2247">SUMPRODUCT(([1]OUT_FinalEnergyCons!$B$4:$B$10000="var_ncap")*1, (ISNUMBER(SEARCH("RH*-SHH2BR",[1]OUT_FinalEnergyCons!$A$4:$A$10000)))*1,[1]OUT_FinalEnergyCons!G$4:G$10000)</f>
        <v>0</v>
      </c>
      <c r="J2247" s="1" cm="1">
        <f t="array" ref="J2247">SUMPRODUCT(([1]OUT_FinalEnergyCons!$B$4:$B$10000="var_ncap")*1, (ISNUMBER(SEARCH("RH*-SHH2BR",[1]OUT_FinalEnergyCons!$A$4:$A$10000)))*1,[1]OUT_FinalEnergyCons!H$4:H$10000)</f>
        <v>0</v>
      </c>
      <c r="K2247" s="1" cm="1">
        <f t="array" ref="K2247">SUMPRODUCT(([1]OUT_FinalEnergyCons!$B$4:$B$10000="var_ncap")*1, (ISNUMBER(SEARCH("RH*-SHH2BR",[1]OUT_FinalEnergyCons!$A$4:$A$10000)))*1,[1]OUT_FinalEnergyCons!I$4:I$10000)</f>
        <v>0</v>
      </c>
    </row>
    <row r="2248" spans="2:11" x14ac:dyDescent="0.35">
      <c r="B2248" s="5" t="str">
        <f t="shared" si="1323"/>
        <v>SPS4</v>
      </c>
      <c r="C2248" s="5" t="str">
        <f t="shared" si="1316"/>
        <v>CH</v>
      </c>
      <c r="D2248" t="s">
        <v>2394</v>
      </c>
      <c r="E2248" t="str">
        <f t="shared" si="1320"/>
        <v>GWth/yr.</v>
      </c>
      <c r="F2248" s="1">
        <f t="shared" ref="F2248:K2248" si="1329">SUM(F2249,F2252,F2254,F2257,F2259,F2261,F2263,F2265)</f>
        <v>9.55833301089963E-6</v>
      </c>
      <c r="G2248" s="1">
        <f t="shared" si="1329"/>
        <v>0.15761145332665893</v>
      </c>
      <c r="H2248" s="1">
        <f t="shared" si="1329"/>
        <v>0.16591739528799926</v>
      </c>
      <c r="I2248" s="1">
        <f t="shared" si="1329"/>
        <v>0.2436547599816809</v>
      </c>
      <c r="J2248" s="1">
        <f t="shared" si="1329"/>
        <v>0.87175444978462058</v>
      </c>
      <c r="K2248" s="1">
        <f t="shared" si="1329"/>
        <v>1.1683524952903013</v>
      </c>
    </row>
    <row r="2249" spans="2:11" x14ac:dyDescent="0.35">
      <c r="B2249" s="5" t="str">
        <f t="shared" si="1323"/>
        <v>SPS4</v>
      </c>
      <c r="C2249" s="5" t="str">
        <f t="shared" si="1316"/>
        <v>CH</v>
      </c>
      <c r="D2249" t="s">
        <v>2395</v>
      </c>
      <c r="E2249" t="str">
        <f t="shared" si="1320"/>
        <v>GWth/yr.</v>
      </c>
      <c r="F2249" s="1">
        <f t="shared" ref="F2249:K2249" si="1330">SUM(F2250:F2251)</f>
        <v>9.55833301089963E-6</v>
      </c>
      <c r="G2249" s="1">
        <f t="shared" si="1330"/>
        <v>6.7791830516192003E-2</v>
      </c>
      <c r="H2249" s="1">
        <f t="shared" si="1330"/>
        <v>6.7741247588617423E-2</v>
      </c>
      <c r="I2249" s="1">
        <f t="shared" si="1330"/>
        <v>0.14764931155453243</v>
      </c>
      <c r="J2249" s="1">
        <f t="shared" si="1330"/>
        <v>0.37774563086922713</v>
      </c>
      <c r="K2249" s="1">
        <f t="shared" si="1330"/>
        <v>0.61443569901731698</v>
      </c>
    </row>
    <row r="2250" spans="2:11" x14ac:dyDescent="0.35">
      <c r="B2250" s="5" t="str">
        <f t="shared" si="1323"/>
        <v>SPS4</v>
      </c>
      <c r="C2250" s="5" t="str">
        <f t="shared" si="1316"/>
        <v>CH</v>
      </c>
      <c r="D2250" t="s">
        <v>2396</v>
      </c>
      <c r="E2250" t="str">
        <f t="shared" si="1320"/>
        <v>GWth/yr.</v>
      </c>
      <c r="F2250" s="1" cm="1">
        <f t="array" ref="F2250">SUMPRODUCT(([1]OUT_FinalEnergyCons!$B$4:$B$10000="var_ncap")*1,(ISNUMBER(SEARCH("RH*-WHELCBR",[1]OUT_FinalEnergyCons!$A$4:$A$10000)))*1,[1]OUT_FinalEnergyCons!D$4:D$10000)</f>
        <v>7.5852000973132104E-6</v>
      </c>
      <c r="G2250" s="1" cm="1">
        <f t="array" ref="G2250">SUMPRODUCT(([1]OUT_FinalEnergyCons!$B$4:$B$10000="var_ncap")*1,(ISNUMBER(SEARCH("RH*-WHELCBR",[1]OUT_FinalEnergyCons!$A$4:$A$10000)))*1,[1]OUT_FinalEnergyCons!E$4:E$10000)</f>
        <v>3.5017599191757301E-2</v>
      </c>
      <c r="H2250" s="1" cm="1">
        <f t="array" ref="H2250">SUMPRODUCT(([1]OUT_FinalEnergyCons!$B$4:$B$10000="var_ncap")*1,(ISNUMBER(SEARCH("RH*-WHELCBR",[1]OUT_FinalEnergyCons!$A$4:$A$10000)))*1,[1]OUT_FinalEnergyCons!F$4:F$10000)</f>
        <v>2.0607642152797699E-7</v>
      </c>
      <c r="I2250" s="1" cm="1">
        <f t="array" ref="I2250">SUMPRODUCT(([1]OUT_FinalEnergyCons!$B$4:$B$10000="var_ncap")*1,(ISNUMBER(SEARCH("RH*-WHELCBR",[1]OUT_FinalEnergyCons!$A$4:$A$10000)))*1,[1]OUT_FinalEnergyCons!G$4:G$10000)</f>
        <v>3.3490293142767298E-7</v>
      </c>
      <c r="J2250" s="1" cm="1">
        <f t="array" ref="J2250">SUMPRODUCT(([1]OUT_FinalEnergyCons!$B$4:$B$10000="var_ncap")*1,(ISNUMBER(SEARCH("RH*-WHELCBR",[1]OUT_FinalEnergyCons!$A$4:$A$10000)))*1,[1]OUT_FinalEnergyCons!H$4:H$10000)</f>
        <v>9.5520781339830094E-2</v>
      </c>
      <c r="K2250" s="1" cm="1">
        <f t="array" ref="K2250">SUMPRODUCT(([1]OUT_FinalEnergyCons!$B$4:$B$10000="var_ncap")*1,(ISNUMBER(SEARCH("RH*-WHELCBR",[1]OUT_FinalEnergyCons!$A$4:$A$10000)))*1,[1]OUT_FinalEnergyCons!I$4:I$10000)</f>
        <v>3.0230971506027899E-2</v>
      </c>
    </row>
    <row r="2251" spans="2:11" x14ac:dyDescent="0.35">
      <c r="B2251" s="5" t="str">
        <f t="shared" si="1323"/>
        <v>SPS4</v>
      </c>
      <c r="C2251" s="5" t="str">
        <f t="shared" si="1316"/>
        <v>CH</v>
      </c>
      <c r="D2251" t="s">
        <v>2397</v>
      </c>
      <c r="E2251" t="str">
        <f t="shared" si="1320"/>
        <v>GWth/yr.</v>
      </c>
      <c r="F2251" s="1" cm="1">
        <f t="array" ref="F2251">SUMPRODUCT(([1]OUT_FinalEnergyCons!$B$4:$B$10000="var_ncap")*1,ISNUMBER(SEARCH("RH*-WHELCHP",[1]OUT_FinalEnergyCons!$A$4:$A$10000))*1,[1]OUT_FinalEnergyCons!D$4:D$10000)</f>
        <v>1.97313291358642E-6</v>
      </c>
      <c r="G2251" s="1" cm="1">
        <f t="array" ref="G2251">SUMPRODUCT(([1]OUT_FinalEnergyCons!$B$4:$B$10000="var_ncap")*1,ISNUMBER(SEARCH("RH*-WHELCHP",[1]OUT_FinalEnergyCons!$A$4:$A$10000))*1,[1]OUT_FinalEnergyCons!E$4:E$10000)</f>
        <v>3.2774231324434702E-2</v>
      </c>
      <c r="H2251" s="1" cm="1">
        <f t="array" ref="H2251">SUMPRODUCT(([1]OUT_FinalEnergyCons!$B$4:$B$10000="var_ncap")*1,ISNUMBER(SEARCH("RH*-WHELCHP",[1]OUT_FinalEnergyCons!$A$4:$A$10000))*1,[1]OUT_FinalEnergyCons!F$4:F$10000)</f>
        <v>6.7741041512195899E-2</v>
      </c>
      <c r="I2251" s="1" cm="1">
        <f t="array" ref="I2251">SUMPRODUCT(([1]OUT_FinalEnergyCons!$B$4:$B$10000="var_ncap")*1,ISNUMBER(SEARCH("RH*-WHELCHP",[1]OUT_FinalEnergyCons!$A$4:$A$10000))*1,[1]OUT_FinalEnergyCons!G$4:G$10000)</f>
        <v>0.14764897665160101</v>
      </c>
      <c r="J2251" s="1" cm="1">
        <f t="array" ref="J2251">SUMPRODUCT(([1]OUT_FinalEnergyCons!$B$4:$B$10000="var_ncap")*1,ISNUMBER(SEARCH("RH*-WHELCHP",[1]OUT_FinalEnergyCons!$A$4:$A$10000))*1,[1]OUT_FinalEnergyCons!H$4:H$10000)</f>
        <v>0.28222484952939703</v>
      </c>
      <c r="K2251" s="1" cm="1">
        <f t="array" ref="K2251">SUMPRODUCT(([1]OUT_FinalEnergyCons!$B$4:$B$10000="var_ncap")*1,ISNUMBER(SEARCH("RH*-WHELCHP",[1]OUT_FinalEnergyCons!$A$4:$A$10000))*1,[1]OUT_FinalEnergyCons!I$4:I$10000)</f>
        <v>0.58420472751128905</v>
      </c>
    </row>
    <row r="2252" spans="2:11" x14ac:dyDescent="0.35">
      <c r="B2252" s="5" t="str">
        <f t="shared" si="1323"/>
        <v>SPS4</v>
      </c>
      <c r="C2252" s="5" t="str">
        <f t="shared" si="1316"/>
        <v>CH</v>
      </c>
      <c r="D2252" t="s">
        <v>2398</v>
      </c>
      <c r="E2252" t="str">
        <f t="shared" si="1320"/>
        <v>GWth/yr.</v>
      </c>
      <c r="F2252" s="1">
        <f t="shared" ref="F2252:K2252" si="1331">F2253</f>
        <v>0</v>
      </c>
      <c r="G2252" s="1">
        <f t="shared" si="1331"/>
        <v>1.3488149493128101E-7</v>
      </c>
      <c r="H2252" s="1">
        <f t="shared" si="1331"/>
        <v>9.5589126070241799E-8</v>
      </c>
      <c r="I2252" s="1">
        <f t="shared" si="1331"/>
        <v>1.7859868607371301E-7</v>
      </c>
      <c r="J2252" s="1">
        <f t="shared" si="1331"/>
        <v>8.1450981473513206E-2</v>
      </c>
      <c r="K2252" s="1">
        <f t="shared" si="1331"/>
        <v>0</v>
      </c>
    </row>
    <row r="2253" spans="2:11" x14ac:dyDescent="0.35">
      <c r="B2253" s="5" t="str">
        <f t="shared" si="1323"/>
        <v>SPS4</v>
      </c>
      <c r="C2253" s="5" t="str">
        <f t="shared" si="1316"/>
        <v>CH</v>
      </c>
      <c r="D2253" t="s">
        <v>2399</v>
      </c>
      <c r="E2253" t="str">
        <f t="shared" si="1320"/>
        <v>GWth/yr.</v>
      </c>
      <c r="F2253" s="1" cm="1">
        <f t="array" ref="F2253">SUMPRODUCT(([1]OUT_FinalEnergyCons!$B$4:$B$10000="var_ncap")*1, (ISNUMBER(SEARCH("RH*-WHLFOBR",[1]OUT_FinalEnergyCons!$A$4:$A$10000)))*1,[1]OUT_FinalEnergyCons!D$4:D$10000)</f>
        <v>0</v>
      </c>
      <c r="G2253" s="1" cm="1">
        <f t="array" ref="G2253">SUMPRODUCT(([1]OUT_FinalEnergyCons!$B$4:$B$10000="var_ncap")*1, (ISNUMBER(SEARCH("RH*-WHLFOBR",[1]OUT_FinalEnergyCons!$A$4:$A$10000)))*1,[1]OUT_FinalEnergyCons!E$4:E$10000)</f>
        <v>1.3488149493128101E-7</v>
      </c>
      <c r="H2253" s="1" cm="1">
        <f t="array" ref="H2253">SUMPRODUCT(([1]OUT_FinalEnergyCons!$B$4:$B$10000="var_ncap")*1, (ISNUMBER(SEARCH("RH*-WHLFOBR",[1]OUT_FinalEnergyCons!$A$4:$A$10000)))*1,[1]OUT_FinalEnergyCons!F$4:F$10000)</f>
        <v>9.5589126070241799E-8</v>
      </c>
      <c r="I2253" s="1" cm="1">
        <f t="array" ref="I2253">SUMPRODUCT(([1]OUT_FinalEnergyCons!$B$4:$B$10000="var_ncap")*1, (ISNUMBER(SEARCH("RH*-WHLFOBR",[1]OUT_FinalEnergyCons!$A$4:$A$10000)))*1,[1]OUT_FinalEnergyCons!G$4:G$10000)</f>
        <v>1.7859868607371301E-7</v>
      </c>
      <c r="J2253" s="1" cm="1">
        <f t="array" ref="J2253">SUMPRODUCT(([1]OUT_FinalEnergyCons!$B$4:$B$10000="var_ncap")*1, (ISNUMBER(SEARCH("RH*-WHLFOBR",[1]OUT_FinalEnergyCons!$A$4:$A$10000)))*1,[1]OUT_FinalEnergyCons!H$4:H$10000)</f>
        <v>8.1450981473513206E-2</v>
      </c>
      <c r="K2253" s="1" cm="1">
        <f t="array" ref="K2253">SUMPRODUCT(([1]OUT_FinalEnergyCons!$B$4:$B$10000="var_ncap")*1, (ISNUMBER(SEARCH("RH*-WHLFOBR",[1]OUT_FinalEnergyCons!$A$4:$A$10000)))*1,[1]OUT_FinalEnergyCons!I$4:I$10000)</f>
        <v>0</v>
      </c>
    </row>
    <row r="2254" spans="2:11" x14ac:dyDescent="0.35">
      <c r="B2254" s="5" t="str">
        <f t="shared" si="1323"/>
        <v>SPS4</v>
      </c>
      <c r="C2254" s="5" t="str">
        <f t="shared" si="1316"/>
        <v>CH</v>
      </c>
      <c r="D2254" t="s">
        <v>2400</v>
      </c>
      <c r="E2254" t="str">
        <f t="shared" si="1320"/>
        <v>GWth/yr.</v>
      </c>
      <c r="F2254" s="1">
        <f t="shared" ref="F2254:K2254" si="1332">SUM(F2255:F2256)</f>
        <v>0</v>
      </c>
      <c r="G2254" s="1">
        <f t="shared" si="1332"/>
        <v>4.1686087855155E-7</v>
      </c>
      <c r="H2254" s="1">
        <f t="shared" si="1332"/>
        <v>6.0050206002130978E-2</v>
      </c>
      <c r="I2254" s="1">
        <f t="shared" si="1332"/>
        <v>8.7067251763383827E-2</v>
      </c>
      <c r="J2254" s="1">
        <f t="shared" si="1332"/>
        <v>0.2196981224416833</v>
      </c>
      <c r="K2254" s="1">
        <f t="shared" si="1332"/>
        <v>0.31052700155890434</v>
      </c>
    </row>
    <row r="2255" spans="2:11" x14ac:dyDescent="0.35">
      <c r="B2255" s="5" t="str">
        <f t="shared" si="1323"/>
        <v>SPS4</v>
      </c>
      <c r="C2255" s="5" t="str">
        <f t="shared" si="1316"/>
        <v>CH</v>
      </c>
      <c r="D2255" t="s">
        <v>2401</v>
      </c>
      <c r="E2255" t="str">
        <f t="shared" si="1320"/>
        <v>GWth/yr.</v>
      </c>
      <c r="F2255" s="1" cm="1">
        <f t="array" ref="F2255">SUMPRODUCT(([1]OUT_FinalEnergyCons!$B$4:$B$10000="var_ncap")*1, (ISNUMBER(SEARCH("RH*-WHNGABR",[1]OUT_FinalEnergyCons!$A$4:$A$10000)))*1,[1]OUT_FinalEnergyCons!D$4:D$10000)</f>
        <v>0</v>
      </c>
      <c r="G2255" s="1" cm="1">
        <f t="array" ref="G2255">SUMPRODUCT(([1]OUT_FinalEnergyCons!$B$4:$B$10000="var_ncap")*1, (ISNUMBER(SEARCH("RH*-WHNGABR",[1]OUT_FinalEnergyCons!$A$4:$A$10000)))*1,[1]OUT_FinalEnergyCons!E$4:E$10000)</f>
        <v>1.9963027095373E-7</v>
      </c>
      <c r="H2255" s="1" cm="1">
        <f t="array" ref="H2255">SUMPRODUCT(([1]OUT_FinalEnergyCons!$B$4:$B$10000="var_ncap")*1, (ISNUMBER(SEARCH("RH*-WHNGABR",[1]OUT_FinalEnergyCons!$A$4:$A$10000)))*1,[1]OUT_FinalEnergyCons!F$4:F$10000)</f>
        <v>2.2013650447482299E-7</v>
      </c>
      <c r="I2255" s="1" cm="1">
        <f t="array" ref="I2255">SUMPRODUCT(([1]OUT_FinalEnergyCons!$B$4:$B$10000="var_ncap")*1, (ISNUMBER(SEARCH("RH*-WHNGABR",[1]OUT_FinalEnergyCons!$A$4:$A$10000)))*1,[1]OUT_FinalEnergyCons!G$4:G$10000)</f>
        <v>2.4614730712136298E-7</v>
      </c>
      <c r="J2255" s="1" cm="1">
        <f t="array" ref="J2255">SUMPRODUCT(([1]OUT_FinalEnergyCons!$B$4:$B$10000="var_ncap")*1, (ISNUMBER(SEARCH("RH*-WHNGABR",[1]OUT_FinalEnergyCons!$A$4:$A$10000)))*1,[1]OUT_FinalEnergyCons!H$4:H$10000)</f>
        <v>7.8381181855194298E-2</v>
      </c>
      <c r="K2255" s="1" cm="1">
        <f t="array" ref="K2255">SUMPRODUCT(([1]OUT_FinalEnergyCons!$B$4:$B$10000="var_ncap")*1, (ISNUMBER(SEARCH("RH*-WHNGABR",[1]OUT_FinalEnergyCons!$A$4:$A$10000)))*1,[1]OUT_FinalEnergyCons!I$4:I$10000)</f>
        <v>2.4056035081523298E-2</v>
      </c>
    </row>
    <row r="2256" spans="2:11" x14ac:dyDescent="0.35">
      <c r="B2256" s="5" t="str">
        <f t="shared" si="1323"/>
        <v>SPS4</v>
      </c>
      <c r="C2256" s="5" t="str">
        <f t="shared" si="1316"/>
        <v>CH</v>
      </c>
      <c r="D2256" t="s">
        <v>2402</v>
      </c>
      <c r="E2256" t="str">
        <f t="shared" si="1320"/>
        <v>GWth/yr.</v>
      </c>
      <c r="F2256" s="1" cm="1">
        <f t="array" ref="F2256">SUMPRODUCT(([1]OUT_FinalEnergyCons!$B$4:$B$10000="var_ncap")*1,ISNUMBER(SEARCH("RH*-WHngahp",[1]OUT_FinalEnergyCons!$A$4:$A$10000))*1,[1]OUT_FinalEnergyCons!D$4:D$10000)</f>
        <v>0</v>
      </c>
      <c r="G2256" s="1" cm="1">
        <f t="array" ref="G2256">SUMPRODUCT(([1]OUT_FinalEnergyCons!$B$4:$B$10000="var_ncap")*1,ISNUMBER(SEARCH("RH*-WHngahp",[1]OUT_FinalEnergyCons!$A$4:$A$10000))*1,[1]OUT_FinalEnergyCons!E$4:E$10000)</f>
        <v>2.1723060759782E-7</v>
      </c>
      <c r="H2256" s="1" cm="1">
        <f t="array" ref="H2256">SUMPRODUCT(([1]OUT_FinalEnergyCons!$B$4:$B$10000="var_ncap")*1,ISNUMBER(SEARCH("RH*-WHngahp",[1]OUT_FinalEnergyCons!$A$4:$A$10000))*1,[1]OUT_FinalEnergyCons!F$4:F$10000)</f>
        <v>6.0049985865626501E-2</v>
      </c>
      <c r="I2256" s="1" cm="1">
        <f t="array" ref="I2256">SUMPRODUCT(([1]OUT_FinalEnergyCons!$B$4:$B$10000="var_ncap")*1,ISNUMBER(SEARCH("RH*-WHngahp",[1]OUT_FinalEnergyCons!$A$4:$A$10000))*1,[1]OUT_FinalEnergyCons!G$4:G$10000)</f>
        <v>8.7067005616076706E-2</v>
      </c>
      <c r="J2256" s="1" cm="1">
        <f t="array" ref="J2256">SUMPRODUCT(([1]OUT_FinalEnergyCons!$B$4:$B$10000="var_ncap")*1,ISNUMBER(SEARCH("RH*-WHngahp",[1]OUT_FinalEnergyCons!$A$4:$A$10000))*1,[1]OUT_FinalEnergyCons!H$4:H$10000)</f>
        <v>0.141316940586489</v>
      </c>
      <c r="K2256" s="1" cm="1">
        <f t="array" ref="K2256">SUMPRODUCT(([1]OUT_FinalEnergyCons!$B$4:$B$10000="var_ncap")*1,ISNUMBER(SEARCH("RH*-WHngahp",[1]OUT_FinalEnergyCons!$A$4:$A$10000))*1,[1]OUT_FinalEnergyCons!I$4:I$10000)</f>
        <v>0.28647096647738102</v>
      </c>
    </row>
    <row r="2257" spans="2:11" x14ac:dyDescent="0.35">
      <c r="B2257" s="5" t="str">
        <f t="shared" si="1323"/>
        <v>SPS4</v>
      </c>
      <c r="C2257" s="5" t="str">
        <f t="shared" si="1316"/>
        <v>CH</v>
      </c>
      <c r="D2257" t="s">
        <v>2403</v>
      </c>
      <c r="E2257" t="str">
        <f t="shared" si="1320"/>
        <v>GWth/yr.</v>
      </c>
      <c r="F2257" s="1">
        <f t="shared" ref="F2257:K2257" si="1333">F2258</f>
        <v>0</v>
      </c>
      <c r="G2257" s="1">
        <f t="shared" si="1333"/>
        <v>0</v>
      </c>
      <c r="H2257" s="1">
        <f t="shared" si="1333"/>
        <v>0</v>
      </c>
      <c r="I2257" s="1">
        <f t="shared" si="1333"/>
        <v>0</v>
      </c>
      <c r="J2257" s="1">
        <f t="shared" si="1333"/>
        <v>0</v>
      </c>
      <c r="K2257" s="1">
        <f t="shared" si="1333"/>
        <v>0</v>
      </c>
    </row>
    <row r="2258" spans="2:11" x14ac:dyDescent="0.35">
      <c r="B2258" s="5" t="str">
        <f t="shared" si="1323"/>
        <v>SPS4</v>
      </c>
      <c r="C2258" s="5" t="str">
        <f t="shared" si="1316"/>
        <v>CH</v>
      </c>
      <c r="D2258" t="s">
        <v>2404</v>
      </c>
      <c r="E2258" t="str">
        <f t="shared" si="1320"/>
        <v>GWth/yr.</v>
      </c>
      <c r="F2258" s="1" cm="1">
        <f t="array" ref="F2258">SUMPRODUCT(([1]OUT_FinalEnergyCons!$B$4:$B$10000="var_ncap")*1, (ISNUMBER(SEARCH("RH*-WHCOABR",[1]OUT_FinalEnergyCons!$A$4:$A$10000)))*1,[1]OUT_FinalEnergyCons!D$4:D$10000)</f>
        <v>0</v>
      </c>
      <c r="G2258" s="1" cm="1">
        <f t="array" ref="G2258">SUMPRODUCT(([1]OUT_FinalEnergyCons!$B$4:$B$10000="var_ncap")*1, (ISNUMBER(SEARCH("RH*-WHCOABR",[1]OUT_FinalEnergyCons!$A$4:$A$10000)))*1,[1]OUT_FinalEnergyCons!E$4:E$10000)</f>
        <v>0</v>
      </c>
      <c r="H2258" s="1" cm="1">
        <f t="array" ref="H2258">SUMPRODUCT(([1]OUT_FinalEnergyCons!$B$4:$B$10000="var_ncap")*1, (ISNUMBER(SEARCH("RH*-WHCOABR",[1]OUT_FinalEnergyCons!$A$4:$A$10000)))*1,[1]OUT_FinalEnergyCons!F$4:F$10000)</f>
        <v>0</v>
      </c>
      <c r="I2258" s="1" cm="1">
        <f t="array" ref="I2258">SUMPRODUCT(([1]OUT_FinalEnergyCons!$B$4:$B$10000="var_ncap")*1, (ISNUMBER(SEARCH("RH*-WHCOABR",[1]OUT_FinalEnergyCons!$A$4:$A$10000)))*1,[1]OUT_FinalEnergyCons!G$4:G$10000)</f>
        <v>0</v>
      </c>
      <c r="J2258" s="1" cm="1">
        <f t="array" ref="J2258">SUMPRODUCT(([1]OUT_FinalEnergyCons!$B$4:$B$10000="var_ncap")*1, (ISNUMBER(SEARCH("RH*-WHCOABR",[1]OUT_FinalEnergyCons!$A$4:$A$10000)))*1,[1]OUT_FinalEnergyCons!H$4:H$10000)</f>
        <v>0</v>
      </c>
      <c r="K2258" s="1" cm="1">
        <f t="array" ref="K2258">SUMPRODUCT(([1]OUT_FinalEnergyCons!$B$4:$B$10000="var_ncap")*1, (ISNUMBER(SEARCH("RH*-WHCOABR",[1]OUT_FinalEnergyCons!$A$4:$A$10000)))*1,[1]OUT_FinalEnergyCons!I$4:I$10000)</f>
        <v>0</v>
      </c>
    </row>
    <row r="2259" spans="2:11" x14ac:dyDescent="0.35">
      <c r="B2259" s="5" t="str">
        <f t="shared" si="1323"/>
        <v>SPS4</v>
      </c>
      <c r="C2259" s="5" t="str">
        <f t="shared" si="1316"/>
        <v>CH</v>
      </c>
      <c r="D2259" t="s">
        <v>2405</v>
      </c>
      <c r="E2259" t="str">
        <f t="shared" si="1320"/>
        <v>GWth/yr.</v>
      </c>
      <c r="F2259" s="1">
        <f t="shared" ref="F2259:K2259" si="1334">F2260</f>
        <v>0</v>
      </c>
      <c r="G2259" s="1">
        <f t="shared" si="1334"/>
        <v>5.35553691676997E-3</v>
      </c>
      <c r="H2259" s="1">
        <f t="shared" si="1334"/>
        <v>3.8125333861510499E-2</v>
      </c>
      <c r="I2259" s="1">
        <f t="shared" si="1334"/>
        <v>8.9359839114867105E-3</v>
      </c>
      <c r="J2259" s="1">
        <f t="shared" si="1334"/>
        <v>4.9495065897756901E-2</v>
      </c>
      <c r="K2259" s="1">
        <f t="shared" si="1334"/>
        <v>4.80753737049983E-2</v>
      </c>
    </row>
    <row r="2260" spans="2:11" x14ac:dyDescent="0.35">
      <c r="B2260" s="5" t="str">
        <f t="shared" si="1323"/>
        <v>SPS4</v>
      </c>
      <c r="C2260" s="5" t="str">
        <f t="shared" si="1316"/>
        <v>CH</v>
      </c>
      <c r="D2260" t="s">
        <v>2406</v>
      </c>
      <c r="E2260" t="str">
        <f t="shared" si="1320"/>
        <v>GWth/yr.</v>
      </c>
      <c r="F2260" s="1" cm="1">
        <f t="array" ref="F2260">SUMPRODUCT(([1]OUT_FinalEnergyCons!$B$4:$B$10000="var_ncap")*1, (ISNUMBER(SEARCH("RH*-WHWODBR",[1]OUT_FinalEnergyCons!$A$4:$A$10000)))*1,[1]OUT_FinalEnergyCons!D$4:D$10000)</f>
        <v>0</v>
      </c>
      <c r="G2260" s="1" cm="1">
        <f t="array" ref="G2260">SUMPRODUCT(([1]OUT_FinalEnergyCons!$B$4:$B$10000="var_ncap")*1, (ISNUMBER(SEARCH("RH*-WHWODBR",[1]OUT_FinalEnergyCons!$A$4:$A$10000)))*1,[1]OUT_FinalEnergyCons!E$4:E$10000)</f>
        <v>5.35553691676997E-3</v>
      </c>
      <c r="H2260" s="1" cm="1">
        <f t="array" ref="H2260">SUMPRODUCT(([1]OUT_FinalEnergyCons!$B$4:$B$10000="var_ncap")*1, (ISNUMBER(SEARCH("RH*-WHWODBR",[1]OUT_FinalEnergyCons!$A$4:$A$10000)))*1,[1]OUT_FinalEnergyCons!F$4:F$10000)</f>
        <v>3.8125333861510499E-2</v>
      </c>
      <c r="I2260" s="1" cm="1">
        <f t="array" ref="I2260">SUMPRODUCT(([1]OUT_FinalEnergyCons!$B$4:$B$10000="var_ncap")*1, (ISNUMBER(SEARCH("RH*-WHWODBR",[1]OUT_FinalEnergyCons!$A$4:$A$10000)))*1,[1]OUT_FinalEnergyCons!G$4:G$10000)</f>
        <v>8.9359839114867105E-3</v>
      </c>
      <c r="J2260" s="1" cm="1">
        <f t="array" ref="J2260">SUMPRODUCT(([1]OUT_FinalEnergyCons!$B$4:$B$10000="var_ncap")*1, (ISNUMBER(SEARCH("RH*-WHWODBR",[1]OUT_FinalEnergyCons!$A$4:$A$10000)))*1,[1]OUT_FinalEnergyCons!H$4:H$10000)</f>
        <v>4.9495065897756901E-2</v>
      </c>
      <c r="K2260" s="1" cm="1">
        <f t="array" ref="K2260">SUMPRODUCT(([1]OUT_FinalEnergyCons!$B$4:$B$10000="var_ncap")*1, (ISNUMBER(SEARCH("RH*-WHWODBR",[1]OUT_FinalEnergyCons!$A$4:$A$10000)))*1,[1]OUT_FinalEnergyCons!I$4:I$10000)</f>
        <v>4.80753737049983E-2</v>
      </c>
    </row>
    <row r="2261" spans="2:11" x14ac:dyDescent="0.35">
      <c r="B2261" s="5" t="str">
        <f t="shared" si="1323"/>
        <v>SPS4</v>
      </c>
      <c r="C2261" s="5" t="str">
        <f t="shared" si="1316"/>
        <v>CH</v>
      </c>
      <c r="D2261" t="s">
        <v>2407</v>
      </c>
      <c r="E2261" t="str">
        <f t="shared" si="1320"/>
        <v>GWth/yr.</v>
      </c>
      <c r="F2261" s="1">
        <f t="shared" ref="F2261:K2261" si="1335">F2262</f>
        <v>0</v>
      </c>
      <c r="G2261" s="1">
        <f t="shared" si="1335"/>
        <v>1.9523805140188701E-3</v>
      </c>
      <c r="H2261" s="1">
        <f t="shared" si="1335"/>
        <v>9.4227670110023302E-8</v>
      </c>
      <c r="I2261" s="1">
        <f t="shared" si="1335"/>
        <v>1.0556908969827801E-6</v>
      </c>
      <c r="J2261" s="1">
        <f t="shared" si="1335"/>
        <v>6.6307438546260302E-3</v>
      </c>
      <c r="K2261" s="1">
        <f t="shared" si="1335"/>
        <v>1.30814688338567E-2</v>
      </c>
    </row>
    <row r="2262" spans="2:11" x14ac:dyDescent="0.35">
      <c r="B2262" s="5" t="str">
        <f t="shared" si="1323"/>
        <v>SPS4</v>
      </c>
      <c r="C2262" s="5" t="str">
        <f t="shared" si="1316"/>
        <v>CH</v>
      </c>
      <c r="D2262" t="s">
        <v>2408</v>
      </c>
      <c r="E2262" t="str">
        <f t="shared" si="1320"/>
        <v>GWth/yr.</v>
      </c>
      <c r="F2262" s="1" cm="1">
        <f t="array" ref="F2262">SUMPRODUCT(([1]OUT_FinalEnergyCons!$B$4:$B$10000="var_ncap")*1, (ISNUMBER(SEARCH("RH*-WHPLTBR",[1]OUT_FinalEnergyCons!$A$4:$A$10000)))*1,[1]OUT_FinalEnergyCons!D$4:D$10000)</f>
        <v>0</v>
      </c>
      <c r="G2262" s="1" cm="1">
        <f t="array" ref="G2262">SUMPRODUCT(([1]OUT_FinalEnergyCons!$B$4:$B$10000="var_ncap")*1, (ISNUMBER(SEARCH("RH*-WHPLTBR",[1]OUT_FinalEnergyCons!$A$4:$A$10000)))*1,[1]OUT_FinalEnergyCons!E$4:E$10000)</f>
        <v>1.9523805140188701E-3</v>
      </c>
      <c r="H2262" s="1" cm="1">
        <f t="array" ref="H2262">SUMPRODUCT(([1]OUT_FinalEnergyCons!$B$4:$B$10000="var_ncap")*1, (ISNUMBER(SEARCH("RH*-WHPLTBR",[1]OUT_FinalEnergyCons!$A$4:$A$10000)))*1,[1]OUT_FinalEnergyCons!F$4:F$10000)</f>
        <v>9.4227670110023302E-8</v>
      </c>
      <c r="I2262" s="1" cm="1">
        <f t="array" ref="I2262">SUMPRODUCT(([1]OUT_FinalEnergyCons!$B$4:$B$10000="var_ncap")*1, (ISNUMBER(SEARCH("RH*-WHPLTBR",[1]OUT_FinalEnergyCons!$A$4:$A$10000)))*1,[1]OUT_FinalEnergyCons!G$4:G$10000)</f>
        <v>1.0556908969827801E-6</v>
      </c>
      <c r="J2262" s="1" cm="1">
        <f t="array" ref="J2262">SUMPRODUCT(([1]OUT_FinalEnergyCons!$B$4:$B$10000="var_ncap")*1, (ISNUMBER(SEARCH("RH*-WHPLTBR",[1]OUT_FinalEnergyCons!$A$4:$A$10000)))*1,[1]OUT_FinalEnergyCons!H$4:H$10000)</f>
        <v>6.6307438546260302E-3</v>
      </c>
      <c r="K2262" s="1" cm="1">
        <f t="array" ref="K2262">SUMPRODUCT(([1]OUT_FinalEnergyCons!$B$4:$B$10000="var_ncap")*1, (ISNUMBER(SEARCH("RH*-WHPLTBR",[1]OUT_FinalEnergyCons!$A$4:$A$10000)))*1,[1]OUT_FinalEnergyCons!I$4:I$10000)</f>
        <v>1.30814688338567E-2</v>
      </c>
    </row>
    <row r="2263" spans="2:11" x14ac:dyDescent="0.35">
      <c r="B2263" s="5" t="str">
        <f t="shared" si="1323"/>
        <v>SPS4</v>
      </c>
      <c r="C2263" s="5" t="str">
        <f t="shared" si="1316"/>
        <v>CH</v>
      </c>
      <c r="D2263" t="s">
        <v>2409</v>
      </c>
      <c r="E2263" t="str">
        <f t="shared" si="1320"/>
        <v>GWth/yr.</v>
      </c>
      <c r="F2263" s="1">
        <f t="shared" ref="F2263:K2263" si="1336">F2264</f>
        <v>0</v>
      </c>
      <c r="G2263" s="1">
        <f t="shared" si="1336"/>
        <v>8.2511153637304602E-2</v>
      </c>
      <c r="H2263" s="1">
        <f t="shared" si="1336"/>
        <v>4.1801894417551302E-7</v>
      </c>
      <c r="I2263" s="1">
        <f t="shared" si="1336"/>
        <v>9.7846269491033407E-7</v>
      </c>
      <c r="J2263" s="1">
        <f t="shared" si="1336"/>
        <v>0.13673390524781401</v>
      </c>
      <c r="K2263" s="1">
        <f t="shared" si="1336"/>
        <v>0.182232952175225</v>
      </c>
    </row>
    <row r="2264" spans="2:11" x14ac:dyDescent="0.35">
      <c r="B2264" s="5" t="str">
        <f t="shared" si="1323"/>
        <v>SPS4</v>
      </c>
      <c r="C2264" s="5" t="str">
        <f t="shared" si="1316"/>
        <v>CH</v>
      </c>
      <c r="D2264" t="s">
        <v>2410</v>
      </c>
      <c r="E2264" t="str">
        <f t="shared" si="1320"/>
        <v>GWth/yr.</v>
      </c>
      <c r="F2264" s="1" cm="1">
        <f t="array" ref="F2264">SUMPRODUCT(([1]OUT_FinalEnergyCons!$B$4:$B$10000="var_ncap")*1, (ISNUMBER(SEARCH("RH*-WHSOLBR",[1]OUT_FinalEnergyCons!$A$4:$A$10000)))*1,[1]OUT_FinalEnergyCons!D$4:D$10000)</f>
        <v>0</v>
      </c>
      <c r="G2264" s="1" cm="1">
        <f t="array" ref="G2264">SUMPRODUCT(([1]OUT_FinalEnergyCons!$B$4:$B$10000="var_ncap")*1, (ISNUMBER(SEARCH("RH*-WHSOLBR",[1]OUT_FinalEnergyCons!$A$4:$A$10000)))*1,[1]OUT_FinalEnergyCons!E$4:E$10000)</f>
        <v>8.2511153637304602E-2</v>
      </c>
      <c r="H2264" s="1" cm="1">
        <f t="array" ref="H2264">SUMPRODUCT(([1]OUT_FinalEnergyCons!$B$4:$B$10000="var_ncap")*1, (ISNUMBER(SEARCH("RH*-WHSOLBR",[1]OUT_FinalEnergyCons!$A$4:$A$10000)))*1,[1]OUT_FinalEnergyCons!F$4:F$10000)</f>
        <v>4.1801894417551302E-7</v>
      </c>
      <c r="I2264" s="1" cm="1">
        <f t="array" ref="I2264">SUMPRODUCT(([1]OUT_FinalEnergyCons!$B$4:$B$10000="var_ncap")*1, (ISNUMBER(SEARCH("RH*-WHSOLBR",[1]OUT_FinalEnergyCons!$A$4:$A$10000)))*1,[1]OUT_FinalEnergyCons!G$4:G$10000)</f>
        <v>9.7846269491033407E-7</v>
      </c>
      <c r="J2264" s="1" cm="1">
        <f t="array" ref="J2264">SUMPRODUCT(([1]OUT_FinalEnergyCons!$B$4:$B$10000="var_ncap")*1, (ISNUMBER(SEARCH("RH*-WHSOLBR",[1]OUT_FinalEnergyCons!$A$4:$A$10000)))*1,[1]OUT_FinalEnergyCons!H$4:H$10000)</f>
        <v>0.13673390524781401</v>
      </c>
      <c r="K2264" s="1" cm="1">
        <f t="array" ref="K2264">SUMPRODUCT(([1]OUT_FinalEnergyCons!$B$4:$B$10000="var_ncap")*1, (ISNUMBER(SEARCH("RH*-WHSOLBR",[1]OUT_FinalEnergyCons!$A$4:$A$10000)))*1,[1]OUT_FinalEnergyCons!I$4:I$10000)</f>
        <v>0.182232952175225</v>
      </c>
    </row>
    <row r="2265" spans="2:11" x14ac:dyDescent="0.35">
      <c r="B2265" s="5" t="str">
        <f t="shared" si="1323"/>
        <v>SPS4</v>
      </c>
      <c r="C2265" s="5" t="str">
        <f t="shared" si="1316"/>
        <v>CH</v>
      </c>
      <c r="D2265" t="s">
        <v>2411</v>
      </c>
      <c r="E2265" t="str">
        <f t="shared" si="1320"/>
        <v>GWth/yr.</v>
      </c>
      <c r="F2265" s="1">
        <f t="shared" ref="F2265:K2265" si="1337">F2266</f>
        <v>0</v>
      </c>
      <c r="G2265" s="1">
        <f t="shared" si="1337"/>
        <v>0</v>
      </c>
      <c r="H2265" s="1">
        <f t="shared" si="1337"/>
        <v>0</v>
      </c>
      <c r="I2265" s="1">
        <f t="shared" si="1337"/>
        <v>0</v>
      </c>
      <c r="J2265" s="1">
        <f t="shared" si="1337"/>
        <v>0</v>
      </c>
      <c r="K2265" s="1">
        <f t="shared" si="1337"/>
        <v>0</v>
      </c>
    </row>
    <row r="2266" spans="2:11" x14ac:dyDescent="0.35">
      <c r="B2266" s="5" t="str">
        <f t="shared" si="1323"/>
        <v>SPS4</v>
      </c>
      <c r="C2266" s="5" t="str">
        <f t="shared" si="1316"/>
        <v>CH</v>
      </c>
      <c r="D2266" t="s">
        <v>2412</v>
      </c>
      <c r="E2266" t="str">
        <f t="shared" si="1320"/>
        <v>GWth/yr.</v>
      </c>
      <c r="F2266" s="1" cm="1">
        <f t="array" ref="F2266">SUMPRODUCT(([1]OUT_FinalEnergyCons!$B$4:$B$10000="var_ncap")*1, (ISNUMBER(SEARCH("RH*-WHH2BR",[1]OUT_FinalEnergyCons!$A$4:$A$10000)))*1,[1]OUT_FinalEnergyCons!D$4:D$10000)</f>
        <v>0</v>
      </c>
      <c r="G2266" s="1" cm="1">
        <f t="array" ref="G2266">SUMPRODUCT(([1]OUT_FinalEnergyCons!$B$4:$B$10000="var_ncap")*1, (ISNUMBER(SEARCH("RH*-WHH2BR",[1]OUT_FinalEnergyCons!$A$4:$A$10000)))*1,[1]OUT_FinalEnergyCons!E$4:E$10000)</f>
        <v>0</v>
      </c>
      <c r="H2266" s="1" cm="1">
        <f t="array" ref="H2266">SUMPRODUCT(([1]OUT_FinalEnergyCons!$B$4:$B$10000="var_ncap")*1, (ISNUMBER(SEARCH("RH*-WHH2BR",[1]OUT_FinalEnergyCons!$A$4:$A$10000)))*1,[1]OUT_FinalEnergyCons!F$4:F$10000)</f>
        <v>0</v>
      </c>
      <c r="I2266" s="1" cm="1">
        <f t="array" ref="I2266">SUMPRODUCT(([1]OUT_FinalEnergyCons!$B$4:$B$10000="var_ncap")*1, (ISNUMBER(SEARCH("RH*-WHH2BR",[1]OUT_FinalEnergyCons!$A$4:$A$10000)))*1,[1]OUT_FinalEnergyCons!G$4:G$10000)</f>
        <v>0</v>
      </c>
      <c r="J2266" s="1" cm="1">
        <f t="array" ref="J2266">SUMPRODUCT(([1]OUT_FinalEnergyCons!$B$4:$B$10000="var_ncap")*1, (ISNUMBER(SEARCH("RH*-WHH2BR",[1]OUT_FinalEnergyCons!$A$4:$A$10000)))*1,[1]OUT_FinalEnergyCons!H$4:H$10000)</f>
        <v>0</v>
      </c>
      <c r="K2266" s="1" cm="1">
        <f t="array" ref="K2266">SUMPRODUCT(([1]OUT_FinalEnergyCons!$B$4:$B$10000="var_ncap")*1, (ISNUMBER(SEARCH("RH*-WHH2BR",[1]OUT_FinalEnergyCons!$A$4:$A$10000)))*1,[1]OUT_FinalEnergyCons!I$4:I$10000)</f>
        <v>0</v>
      </c>
    </row>
    <row r="2267" spans="2:11" x14ac:dyDescent="0.35">
      <c r="B2267" s="9" t="str">
        <f t="shared" si="1323"/>
        <v>SPS4</v>
      </c>
      <c r="C2267" s="9" t="str">
        <f t="shared" si="1316"/>
        <v>CH</v>
      </c>
      <c r="D2267" s="2" t="s">
        <v>2194</v>
      </c>
      <c r="E2267" s="9" t="str">
        <f t="shared" si="1320"/>
        <v>GWth/yr.</v>
      </c>
      <c r="F2267" s="17">
        <f t="shared" ref="F2267:K2267" si="1338">SUM(F2268,F2271,F2274,F2278,F2280,F2282,F2284,F2286,F2288)</f>
        <v>3.8413221661517803E-4</v>
      </c>
      <c r="G2267" s="17">
        <f t="shared" si="1338"/>
        <v>0.29461656666465197</v>
      </c>
      <c r="H2267" s="17">
        <f t="shared" si="1338"/>
        <v>1.5765485688476417E-2</v>
      </c>
      <c r="I2267" s="17">
        <f t="shared" si="1338"/>
        <v>0.17228021382921263</v>
      </c>
      <c r="J2267" s="17">
        <f t="shared" si="1338"/>
        <v>1.1153030046892096</v>
      </c>
      <c r="K2267" s="17">
        <f t="shared" si="1338"/>
        <v>1.1949243877478095</v>
      </c>
    </row>
    <row r="2268" spans="2:11" x14ac:dyDescent="0.35">
      <c r="B2268" s="5" t="str">
        <f t="shared" si="1323"/>
        <v>SPS4</v>
      </c>
      <c r="C2268" s="5" t="str">
        <f t="shared" si="1316"/>
        <v>CH</v>
      </c>
      <c r="D2268" t="s">
        <v>2413</v>
      </c>
      <c r="E2268" t="str">
        <f t="shared" si="1320"/>
        <v>GWth/yr.</v>
      </c>
      <c r="F2268" s="18">
        <f t="shared" ref="F2268:K2268" si="1339">SUM(F2269:F2270)</f>
        <v>0</v>
      </c>
      <c r="G2268" s="18">
        <f t="shared" si="1339"/>
        <v>0.21447756595377621</v>
      </c>
      <c r="H2268" s="18">
        <f t="shared" si="1339"/>
        <v>1.5692189292989794E-2</v>
      </c>
      <c r="I2268" s="18">
        <f t="shared" si="1339"/>
        <v>0.1707209575336863</v>
      </c>
      <c r="J2268" s="18">
        <f t="shared" si="1339"/>
        <v>0.46826308111681569</v>
      </c>
      <c r="K2268" s="18">
        <f t="shared" si="1339"/>
        <v>0.54593646833119303</v>
      </c>
    </row>
    <row r="2269" spans="2:11" x14ac:dyDescent="0.35">
      <c r="B2269" s="5" t="str">
        <f t="shared" si="1323"/>
        <v>SPS4</v>
      </c>
      <c r="C2269" s="5" t="str">
        <f t="shared" si="1316"/>
        <v>CH</v>
      </c>
      <c r="D2269" t="s">
        <v>2414</v>
      </c>
      <c r="E2269" t="str">
        <f t="shared" si="1320"/>
        <v>GWth/yr.</v>
      </c>
      <c r="F2269" s="1" cm="1">
        <f t="array" ref="F2269">SUMPRODUCT(([1]OUT_FinalEnergyCons!$B$4:$B$10000="var_ncap")*1,  (ISNUMBER(SEARCH("ITOT-SWHELCBR",[1]OUT_FinalEnergyCons!$A$4:$A$10000)))*1,[1]OUT_FinalEnergyCons!D$4:D$10000)</f>
        <v>0</v>
      </c>
      <c r="G2269" s="1" cm="1">
        <f t="array" ref="G2269">SUMPRODUCT(([1]OUT_FinalEnergyCons!$B$4:$B$10000="var_ncap")*1,  (ISNUMBER(SEARCH("ITOT-SWHELCBR",[1]OUT_FinalEnergyCons!$A$4:$A$10000)))*1,[1]OUT_FinalEnergyCons!E$4:E$10000)</f>
        <v>0.19843313152536701</v>
      </c>
      <c r="H2269" s="1" cm="1">
        <f t="array" ref="H2269">SUMPRODUCT(([1]OUT_FinalEnergyCons!$B$4:$B$10000="var_ncap")*1,  (ISNUMBER(SEARCH("ITOT-SWHELCBR",[1]OUT_FinalEnergyCons!$A$4:$A$10000)))*1,[1]OUT_FinalEnergyCons!F$4:F$10000)</f>
        <v>2.2139635996929599E-4</v>
      </c>
      <c r="I2269" s="1" cm="1">
        <f t="array" ref="I2269">SUMPRODUCT(([1]OUT_FinalEnergyCons!$B$4:$B$10000="var_ncap")*1,  (ISNUMBER(SEARCH("ITOT-SWHELCBR",[1]OUT_FinalEnergyCons!$A$4:$A$10000)))*1,[1]OUT_FinalEnergyCons!G$4:G$10000)</f>
        <v>5.1959357587568297E-2</v>
      </c>
      <c r="J2269" s="1" cm="1">
        <f t="array" ref="J2269">SUMPRODUCT(([1]OUT_FinalEnergyCons!$B$4:$B$10000="var_ncap")*1,  (ISNUMBER(SEARCH("ITOT-SWHELCBR",[1]OUT_FinalEnergyCons!$A$4:$A$10000)))*1,[1]OUT_FinalEnergyCons!H$4:H$10000)</f>
        <v>0.391725542947018</v>
      </c>
      <c r="K2269" s="1" cm="1">
        <f t="array" ref="K2269">SUMPRODUCT(([1]OUT_FinalEnergyCons!$B$4:$B$10000="var_ncap")*1,  (ISNUMBER(SEARCH("ITOT-SWHELCBR",[1]OUT_FinalEnergyCons!$A$4:$A$10000)))*1,[1]OUT_FinalEnergyCons!I$4:I$10000)</f>
        <v>0.33889431143537702</v>
      </c>
    </row>
    <row r="2270" spans="2:11" x14ac:dyDescent="0.35">
      <c r="B2270" s="5" t="str">
        <f t="shared" si="1323"/>
        <v>SPS4</v>
      </c>
      <c r="C2270" s="5" t="str">
        <f t="shared" si="1316"/>
        <v>CH</v>
      </c>
      <c r="D2270" t="s">
        <v>2415</v>
      </c>
      <c r="E2270" t="str">
        <f t="shared" si="1320"/>
        <v>GWth/yr.</v>
      </c>
      <c r="F2270" s="1" cm="1">
        <f t="array" ref="F2270">SUMPRODUCT(([1]OUT_FinalEnergyCons!$B$4:$B$10000="var_ncap")*1,  (ISNUMBER(SEARCH("ITOT-SWHELCHP",[1]OUT_FinalEnergyCons!$A$4:$A$10000)))*1,[1]OUT_FinalEnergyCons!D$4:D$10000)</f>
        <v>0</v>
      </c>
      <c r="G2270" s="1" cm="1">
        <f t="array" ref="G2270">SUMPRODUCT(([1]OUT_FinalEnergyCons!$B$4:$B$10000="var_ncap")*1,  (ISNUMBER(SEARCH("ITOT-SWHELCHP",[1]OUT_FinalEnergyCons!$A$4:$A$10000)))*1,[1]OUT_FinalEnergyCons!E$4:E$10000)</f>
        <v>1.60444344284092E-2</v>
      </c>
      <c r="H2270" s="1" cm="1">
        <f t="array" ref="H2270">SUMPRODUCT(([1]OUT_FinalEnergyCons!$B$4:$B$10000="var_ncap")*1,  (ISNUMBER(SEARCH("ITOT-SWHELCHP",[1]OUT_FinalEnergyCons!$A$4:$A$10000)))*1,[1]OUT_FinalEnergyCons!F$4:F$10000)</f>
        <v>1.54707929330205E-2</v>
      </c>
      <c r="I2270" s="1" cm="1">
        <f t="array" ref="I2270">SUMPRODUCT(([1]OUT_FinalEnergyCons!$B$4:$B$10000="var_ncap")*1,  (ISNUMBER(SEARCH("ITOT-SWHELCHP",[1]OUT_FinalEnergyCons!$A$4:$A$10000)))*1,[1]OUT_FinalEnergyCons!G$4:G$10000)</f>
        <v>0.118761599946118</v>
      </c>
      <c r="J2270" s="1" cm="1">
        <f t="array" ref="J2270">SUMPRODUCT(([1]OUT_FinalEnergyCons!$B$4:$B$10000="var_ncap")*1,  (ISNUMBER(SEARCH("ITOT-SWHELCHP",[1]OUT_FinalEnergyCons!$A$4:$A$10000)))*1,[1]OUT_FinalEnergyCons!H$4:H$10000)</f>
        <v>7.6537538169797706E-2</v>
      </c>
      <c r="K2270" s="1" cm="1">
        <f t="array" ref="K2270">SUMPRODUCT(([1]OUT_FinalEnergyCons!$B$4:$B$10000="var_ncap")*1,  (ISNUMBER(SEARCH("ITOT-SWHELCHP",[1]OUT_FinalEnergyCons!$A$4:$A$10000)))*1,[1]OUT_FinalEnergyCons!I$4:I$10000)</f>
        <v>0.20704215689581601</v>
      </c>
    </row>
    <row r="2271" spans="2:11" x14ac:dyDescent="0.35">
      <c r="B2271" s="5" t="str">
        <f t="shared" si="1323"/>
        <v>SPS4</v>
      </c>
      <c r="C2271" s="5" t="str">
        <f t="shared" si="1316"/>
        <v>CH</v>
      </c>
      <c r="D2271" t="s">
        <v>2416</v>
      </c>
      <c r="E2271" t="str">
        <f t="shared" si="1320"/>
        <v>GWth/yr.</v>
      </c>
      <c r="F2271" s="18">
        <f t="shared" ref="F2271:K2271" si="1340">SUM(F2272:F2273)</f>
        <v>3.8413221661517803E-4</v>
      </c>
      <c r="G2271" s="18">
        <f t="shared" si="1340"/>
        <v>1.6437173591497774E-2</v>
      </c>
      <c r="H2271" s="18">
        <f t="shared" si="1340"/>
        <v>2.4000363555251402E-5</v>
      </c>
      <c r="I2271" s="18">
        <f t="shared" si="1340"/>
        <v>4.1763416800674405E-5</v>
      </c>
      <c r="J2271" s="18">
        <f t="shared" si="1340"/>
        <v>6.2130394730653508E-5</v>
      </c>
      <c r="K2271" s="18">
        <f t="shared" si="1340"/>
        <v>1.0405436651635018E-5</v>
      </c>
    </row>
    <row r="2272" spans="2:11" x14ac:dyDescent="0.35">
      <c r="B2272" s="5" t="str">
        <f t="shared" si="1323"/>
        <v>SPS4</v>
      </c>
      <c r="C2272" s="5" t="str">
        <f t="shared" si="1316"/>
        <v>CH</v>
      </c>
      <c r="D2272" t="s">
        <v>2417</v>
      </c>
      <c r="E2272" t="str">
        <f t="shared" si="1320"/>
        <v>GWth/yr.</v>
      </c>
      <c r="F2272" s="1" cm="1">
        <f t="array" ref="F2272">SUMPRODUCT(([1]OUT_FinalEnergyCons!$B$4:$B$10000="var_ncap")*1,  (ISNUMBER(SEARCH("ITOT-SWHLFOBR",[1]OUT_FinalEnergyCons!$A$4:$A$10000)))*1,[1]OUT_FinalEnergyCons!D$4:D$10000)</f>
        <v>0</v>
      </c>
      <c r="G2272" s="1" cm="1">
        <f t="array" ref="G2272">SUMPRODUCT(([1]OUT_FinalEnergyCons!$B$4:$B$10000="var_ncap")*1,  (ISNUMBER(SEARCH("ITOT-SWHLFOBR",[1]OUT_FinalEnergyCons!$A$4:$A$10000)))*1,[1]OUT_FinalEnergyCons!E$4:E$10000)</f>
        <v>1.6424805084905601E-2</v>
      </c>
      <c r="H2272" s="1" cm="1">
        <f t="array" ref="H2272">SUMPRODUCT(([1]OUT_FinalEnergyCons!$B$4:$B$10000="var_ncap")*1,  (ISNUMBER(SEARCH("ITOT-SWHLFOBR",[1]OUT_FinalEnergyCons!$A$4:$A$10000)))*1,[1]OUT_FinalEnergyCons!F$4:F$10000)</f>
        <v>1.26557195030933E-5</v>
      </c>
      <c r="I2272" s="1" cm="1">
        <f t="array" ref="I2272">SUMPRODUCT(([1]OUT_FinalEnergyCons!$B$4:$B$10000="var_ncap")*1,  (ISNUMBER(SEARCH("ITOT-SWHLFOBR",[1]OUT_FinalEnergyCons!$A$4:$A$10000)))*1,[1]OUT_FinalEnergyCons!G$4:G$10000)</f>
        <v>2.5445273017724901E-5</v>
      </c>
      <c r="J2272" s="1" cm="1">
        <f t="array" ref="J2272">SUMPRODUCT(([1]OUT_FinalEnergyCons!$B$4:$B$10000="var_ncap")*1,  (ISNUMBER(SEARCH("ITOT-SWHLFOBR",[1]OUT_FinalEnergyCons!$A$4:$A$10000)))*1,[1]OUT_FinalEnergyCons!H$4:H$10000)</f>
        <v>5.1296114877719003E-5</v>
      </c>
      <c r="K2272" s="1" cm="1">
        <f t="array" ref="K2272">SUMPRODUCT(([1]OUT_FinalEnergyCons!$B$4:$B$10000="var_ncap")*1,  (ISNUMBER(SEARCH("ITOT-SWHLFOBR",[1]OUT_FinalEnergyCons!$A$4:$A$10000)))*1,[1]OUT_FinalEnergyCons!I$4:I$10000)</f>
        <v>8.0307325559261395E-6</v>
      </c>
    </row>
    <row r="2273" spans="2:11" x14ac:dyDescent="0.35">
      <c r="B2273" s="5" t="str">
        <f t="shared" si="1323"/>
        <v>SPS4</v>
      </c>
      <c r="C2273" s="5" t="str">
        <f t="shared" si="1316"/>
        <v>CH</v>
      </c>
      <c r="D2273" t="s">
        <v>2418</v>
      </c>
      <c r="E2273" t="str">
        <f t="shared" si="1320"/>
        <v>GWth/yr.</v>
      </c>
      <c r="F2273" s="1" cm="1">
        <f t="array" ref="F2273">SUMPRODUCT(([1]OUT_FinalEnergyCons!$B$4:$B$10000="var_ncap")*1,  (ISNUMBER(SEARCH("ITOT-SWHHFOBR",[1]OUT_FinalEnergyCons!$A$4:$A$10000)))*1,[1]OUT_FinalEnergyCons!D$4:D$10000)</f>
        <v>3.8413221661517803E-4</v>
      </c>
      <c r="G2273" s="1" cm="1">
        <f t="array" ref="G2273">SUMPRODUCT(([1]OUT_FinalEnergyCons!$B$4:$B$10000="var_ncap")*1,  (ISNUMBER(SEARCH("ITOT-SWHHFOBR",[1]OUT_FinalEnergyCons!$A$4:$A$10000)))*1,[1]OUT_FinalEnergyCons!E$4:E$10000)</f>
        <v>1.23685065921729E-5</v>
      </c>
      <c r="H2273" s="1" cm="1">
        <f t="array" ref="H2273">SUMPRODUCT(([1]OUT_FinalEnergyCons!$B$4:$B$10000="var_ncap")*1,  (ISNUMBER(SEARCH("ITOT-SWHHFOBR",[1]OUT_FinalEnergyCons!$A$4:$A$10000)))*1,[1]OUT_FinalEnergyCons!F$4:F$10000)</f>
        <v>1.13446440521581E-5</v>
      </c>
      <c r="I2273" s="1" cm="1">
        <f t="array" ref="I2273">SUMPRODUCT(([1]OUT_FinalEnergyCons!$B$4:$B$10000="var_ncap")*1,  (ISNUMBER(SEARCH("ITOT-SWHHFOBR",[1]OUT_FinalEnergyCons!$A$4:$A$10000)))*1,[1]OUT_FinalEnergyCons!G$4:G$10000)</f>
        <v>1.6318143782949501E-5</v>
      </c>
      <c r="J2273" s="1" cm="1">
        <f t="array" ref="J2273">SUMPRODUCT(([1]OUT_FinalEnergyCons!$B$4:$B$10000="var_ncap")*1,  (ISNUMBER(SEARCH("ITOT-SWHHFOBR",[1]OUT_FinalEnergyCons!$A$4:$A$10000)))*1,[1]OUT_FinalEnergyCons!H$4:H$10000)</f>
        <v>1.08342798529345E-5</v>
      </c>
      <c r="K2273" s="1" cm="1">
        <f t="array" ref="K2273">SUMPRODUCT(([1]OUT_FinalEnergyCons!$B$4:$B$10000="var_ncap")*1,  (ISNUMBER(SEARCH("ITOT-SWHHFOBR",[1]OUT_FinalEnergyCons!$A$4:$A$10000)))*1,[1]OUT_FinalEnergyCons!I$4:I$10000)</f>
        <v>2.3747040957088798E-6</v>
      </c>
    </row>
    <row r="2274" spans="2:11" x14ac:dyDescent="0.35">
      <c r="B2274" s="5" t="str">
        <f t="shared" si="1323"/>
        <v>SPS4</v>
      </c>
      <c r="C2274" s="5" t="str">
        <f t="shared" si="1316"/>
        <v>CH</v>
      </c>
      <c r="D2274" t="s">
        <v>2419</v>
      </c>
      <c r="E2274" t="str">
        <f t="shared" si="1320"/>
        <v>GWth/yr.</v>
      </c>
      <c r="F2274" s="18">
        <f t="shared" ref="F2274:K2274" si="1341">SUM(F2275:F2276)</f>
        <v>0</v>
      </c>
      <c r="G2274" s="18">
        <f t="shared" si="1341"/>
        <v>6.1599281517828966E-4</v>
      </c>
      <c r="H2274" s="18">
        <f t="shared" si="1341"/>
        <v>1.3063971608204791E-5</v>
      </c>
      <c r="I2274" s="18">
        <f t="shared" si="1341"/>
        <v>1.5668728052369341E-5</v>
      </c>
      <c r="J2274" s="18">
        <f t="shared" si="1341"/>
        <v>0.45113956013188544</v>
      </c>
      <c r="K2274" s="18">
        <f t="shared" si="1341"/>
        <v>0.38285654689112109</v>
      </c>
    </row>
    <row r="2275" spans="2:11" x14ac:dyDescent="0.35">
      <c r="B2275" s="5" t="str">
        <f t="shared" si="1323"/>
        <v>SPS4</v>
      </c>
      <c r="C2275" s="5" t="str">
        <f t="shared" si="1316"/>
        <v>CH</v>
      </c>
      <c r="D2275" t="s">
        <v>2420</v>
      </c>
      <c r="E2275" t="str">
        <f t="shared" si="1320"/>
        <v>GWth/yr.</v>
      </c>
      <c r="F2275" s="1" cm="1">
        <f t="array" ref="F2275">SUMPRODUCT(([1]OUT_FinalEnergyCons!$B$4:$B$10000="var_ncap")*1,  (ISNUMBER(SEARCH("ITOT-SWHNGA*BR",[1]OUT_FinalEnergyCons!$A$4:$A$10000)))*1,[1]OUT_FinalEnergyCons!D$4:D$10000)</f>
        <v>0</v>
      </c>
      <c r="G2275" s="1" cm="1">
        <f t="array" ref="G2275">SUMPRODUCT(([1]OUT_FinalEnergyCons!$B$4:$B$10000="var_ncap")*1,  (ISNUMBER(SEARCH("ITOT-SWHNGA*BR",[1]OUT_FinalEnergyCons!$A$4:$A$10000)))*1,[1]OUT_FinalEnergyCons!E$4:E$10000)</f>
        <v>1.38659526738966E-5</v>
      </c>
      <c r="H2275" s="1" cm="1">
        <f t="array" ref="H2275">SUMPRODUCT(([1]OUT_FinalEnergyCons!$B$4:$B$10000="var_ncap")*1,  (ISNUMBER(SEARCH("ITOT-SWHNGA*BR",[1]OUT_FinalEnergyCons!$A$4:$A$10000)))*1,[1]OUT_FinalEnergyCons!F$4:F$10000)</f>
        <v>8.8303208947600001E-6</v>
      </c>
      <c r="I2275" s="1" cm="1">
        <f t="array" ref="I2275">SUMPRODUCT(([1]OUT_FinalEnergyCons!$B$4:$B$10000="var_ncap")*1,  (ISNUMBER(SEARCH("ITOT-SWHNGA*BR",[1]OUT_FinalEnergyCons!$A$4:$A$10000)))*1,[1]OUT_FinalEnergyCons!G$4:G$10000)</f>
        <v>1.0875216602660201E-5</v>
      </c>
      <c r="J2275" s="1" cm="1">
        <f t="array" ref="J2275">SUMPRODUCT(([1]OUT_FinalEnergyCons!$B$4:$B$10000="var_ncap")*1,  (ISNUMBER(SEARCH("ITOT-SWHNGA*BR",[1]OUT_FinalEnergyCons!$A$4:$A$10000)))*1,[1]OUT_FinalEnergyCons!H$4:H$10000)</f>
        <v>0.44999117651292603</v>
      </c>
      <c r="K2275" s="1" cm="1">
        <f t="array" ref="K2275">SUMPRODUCT(([1]OUT_FinalEnergyCons!$B$4:$B$10000="var_ncap")*1,  (ISNUMBER(SEARCH("ITOT-SWHNGA*BR",[1]OUT_FinalEnergyCons!$A$4:$A$10000)))*1,[1]OUT_FinalEnergyCons!I$4:I$10000)</f>
        <v>0.36931782447550698</v>
      </c>
    </row>
    <row r="2276" spans="2:11" x14ac:dyDescent="0.35">
      <c r="B2276" s="5" t="str">
        <f t="shared" si="1323"/>
        <v>SPS4</v>
      </c>
      <c r="C2276" s="5" t="str">
        <f t="shared" si="1316"/>
        <v>CH</v>
      </c>
      <c r="D2276" t="s">
        <v>2421</v>
      </c>
      <c r="E2276" t="str">
        <f t="shared" si="1320"/>
        <v>GWth/yr.</v>
      </c>
      <c r="F2276" s="1" cm="1">
        <f t="array" ref="F2276">SUMPRODUCT(([1]OUT_FinalEnergyCons!$B$4:$B$10000="var_ncap")*1,  (ISNUMBER(SEARCH("ITOT-SWHNGAHP",[1]OUT_FinalEnergyCons!$A$4:$A$10000)))*1,[1]OUT_FinalEnergyCons!D$4:D$10000)</f>
        <v>0</v>
      </c>
      <c r="G2276" s="1" cm="1">
        <f t="array" ref="G2276">SUMPRODUCT(([1]OUT_FinalEnergyCons!$B$4:$B$10000="var_ncap")*1,  (ISNUMBER(SEARCH("ITOT-SWHNGAHP",[1]OUT_FinalEnergyCons!$A$4:$A$10000)))*1,[1]OUT_FinalEnergyCons!E$4:E$10000)</f>
        <v>6.0212686250439302E-4</v>
      </c>
      <c r="H2276" s="1" cm="1">
        <f t="array" ref="H2276">SUMPRODUCT(([1]OUT_FinalEnergyCons!$B$4:$B$10000="var_ncap")*1,  (ISNUMBER(SEARCH("ITOT-SWHNGAHP",[1]OUT_FinalEnergyCons!$A$4:$A$10000)))*1,[1]OUT_FinalEnergyCons!F$4:F$10000)</f>
        <v>4.2336507134447898E-6</v>
      </c>
      <c r="I2276" s="1" cm="1">
        <f t="array" ref="I2276">SUMPRODUCT(([1]OUT_FinalEnergyCons!$B$4:$B$10000="var_ncap")*1,  (ISNUMBER(SEARCH("ITOT-SWHNGAHP",[1]OUT_FinalEnergyCons!$A$4:$A$10000)))*1,[1]OUT_FinalEnergyCons!G$4:G$10000)</f>
        <v>4.7935114497091396E-6</v>
      </c>
      <c r="J2276" s="1" cm="1">
        <f t="array" ref="J2276">SUMPRODUCT(([1]OUT_FinalEnergyCons!$B$4:$B$10000="var_ncap")*1,  (ISNUMBER(SEARCH("ITOT-SWHNGAHP",[1]OUT_FinalEnergyCons!$A$4:$A$10000)))*1,[1]OUT_FinalEnergyCons!H$4:H$10000)</f>
        <v>1.14838361895942E-3</v>
      </c>
      <c r="K2276" s="1" cm="1">
        <f t="array" ref="K2276">SUMPRODUCT(([1]OUT_FinalEnergyCons!$B$4:$B$10000="var_ncap")*1,  (ISNUMBER(SEARCH("ITOT-SWHNGAHP",[1]OUT_FinalEnergyCons!$A$4:$A$10000)))*1,[1]OUT_FinalEnergyCons!I$4:I$10000)</f>
        <v>1.35387224156141E-2</v>
      </c>
    </row>
    <row r="2277" spans="2:11" x14ac:dyDescent="0.35">
      <c r="B2277" s="5" t="str">
        <f t="shared" si="1323"/>
        <v>SPS4</v>
      </c>
      <c r="C2277" s="5" t="str">
        <f t="shared" si="1316"/>
        <v>CH</v>
      </c>
      <c r="D2277" t="s">
        <v>2422</v>
      </c>
      <c r="E2277" t="str">
        <f t="shared" si="1320"/>
        <v>GWth/yr.</v>
      </c>
      <c r="F2277" s="1" cm="1">
        <f t="array" ref="F2277">SUMPRODUCT(([1]OUT_FinalEnergyCons!$B$4:$B$10000="var_ncap")*1,  (("ITOT-SWHBIOBR"=[1]OUT_FinalEnergyCons!$A$4:$A$10000)*1+("ITOT-SWHBNGABR"=[1]OUT_FinalEnergyCons!$A$4:$A$10000))*1,[1]OUT_FinalEnergyCons!D$4:D$10000)</f>
        <v>0</v>
      </c>
      <c r="G2277" s="1" cm="1">
        <f t="array" ref="G2277">SUMPRODUCT(([1]OUT_FinalEnergyCons!$B$4:$B$10000="var_ncap")*1,  (("ITOT-SWHBIOBR"=[1]OUT_FinalEnergyCons!$A$4:$A$10000)*1+("ITOT-SWHBNGABR"=[1]OUT_FinalEnergyCons!$A$4:$A$10000))*1,[1]OUT_FinalEnergyCons!E$4:E$10000)</f>
        <v>1.6922714846757201E-2</v>
      </c>
      <c r="H2277" s="1" cm="1">
        <f t="array" ref="H2277">SUMPRODUCT(([1]OUT_FinalEnergyCons!$B$4:$B$10000="var_ncap")*1,  (("ITOT-SWHBIOBR"=[1]OUT_FinalEnergyCons!$A$4:$A$10000)*1+("ITOT-SWHBNGABR"=[1]OUT_FinalEnergyCons!$A$4:$A$10000))*1,[1]OUT_FinalEnergyCons!F$4:F$10000)</f>
        <v>7.3642067019693794E-2</v>
      </c>
      <c r="I2277" s="1" cm="1">
        <f t="array" ref="I2277">SUMPRODUCT(([1]OUT_FinalEnergyCons!$B$4:$B$10000="var_ncap")*1,  (("ITOT-SWHBIOBR"=[1]OUT_FinalEnergyCons!$A$4:$A$10000)*1+("ITOT-SWHBNGABR"=[1]OUT_FinalEnergyCons!$A$4:$A$10000))*1,[1]OUT_FinalEnergyCons!G$4:G$10000)</f>
        <v>0.110414845888434</v>
      </c>
      <c r="J2277" s="1" cm="1">
        <f t="array" ref="J2277">SUMPRODUCT(([1]OUT_FinalEnergyCons!$B$4:$B$10000="var_ncap")*1,  (("ITOT-SWHBIOBR"=[1]OUT_FinalEnergyCons!$A$4:$A$10000)*1+("ITOT-SWHBNGABR"=[1]OUT_FinalEnergyCons!$A$4:$A$10000))*1,[1]OUT_FinalEnergyCons!H$4:H$10000)</f>
        <v>9.48158074674849E-2</v>
      </c>
      <c r="K2277" s="1" cm="1">
        <f t="array" ref="K2277">SUMPRODUCT(([1]OUT_FinalEnergyCons!$B$4:$B$10000="var_ncap")*1,  (("ITOT-SWHBIOBR"=[1]OUT_FinalEnergyCons!$A$4:$A$10000)*1+("ITOT-SWHBNGABR"=[1]OUT_FinalEnergyCons!$A$4:$A$10000))*1,[1]OUT_FinalEnergyCons!I$4:I$10000)</f>
        <v>0.424874950459803</v>
      </c>
    </row>
    <row r="2278" spans="2:11" x14ac:dyDescent="0.35">
      <c r="B2278" s="5" t="str">
        <f t="shared" si="1323"/>
        <v>SPS4</v>
      </c>
      <c r="C2278" s="5" t="str">
        <f t="shared" si="1316"/>
        <v>CH</v>
      </c>
      <c r="D2278" t="s">
        <v>2423</v>
      </c>
      <c r="E2278" t="str">
        <f t="shared" si="1320"/>
        <v>GWth/yr.</v>
      </c>
      <c r="F2278" s="1">
        <f t="shared" ref="F2278:K2278" si="1342">F2279</f>
        <v>0</v>
      </c>
      <c r="G2278" s="1">
        <f t="shared" si="1342"/>
        <v>3.9955972384032197E-6</v>
      </c>
      <c r="H2278" s="1">
        <f t="shared" si="1342"/>
        <v>4.5538370352441497E-6</v>
      </c>
      <c r="I2278" s="1">
        <f t="shared" si="1342"/>
        <v>7.6266126911536699E-6</v>
      </c>
      <c r="J2278" s="1">
        <f t="shared" si="1342"/>
        <v>5.9943825190438098E-6</v>
      </c>
      <c r="K2278" s="1">
        <f t="shared" si="1342"/>
        <v>8.5293418970890101E-6</v>
      </c>
    </row>
    <row r="2279" spans="2:11" x14ac:dyDescent="0.35">
      <c r="B2279" s="5" t="str">
        <f t="shared" si="1323"/>
        <v>SPS4</v>
      </c>
      <c r="C2279" s="5" t="str">
        <f t="shared" si="1316"/>
        <v>CH</v>
      </c>
      <c r="D2279" t="s">
        <v>2424</v>
      </c>
      <c r="E2279" t="str">
        <f t="shared" si="1320"/>
        <v>GWth/yr.</v>
      </c>
      <c r="F2279" s="1" cm="1">
        <f t="array" ref="F2279">SUMPRODUCT(([1]OUT_FinalEnergyCons!$B$4:$B$10000="var_ncap")*1,  (ISNUMBER(SEARCH("ITOT-SWHCOA*BR",[1]OUT_FinalEnergyCons!$A$4:$A$10000)))*1,[1]OUT_FinalEnergyCons!D$4:D$10000)</f>
        <v>0</v>
      </c>
      <c r="G2279" s="1" cm="1">
        <f t="array" ref="G2279">SUMPRODUCT(([1]OUT_FinalEnergyCons!$B$4:$B$10000="var_ncap")*1,  (ISNUMBER(SEARCH("ITOT-SWHCOA*BR",[1]OUT_FinalEnergyCons!$A$4:$A$10000)))*1,[1]OUT_FinalEnergyCons!E$4:E$10000)</f>
        <v>3.9955972384032197E-6</v>
      </c>
      <c r="H2279" s="1" cm="1">
        <f t="array" ref="H2279">SUMPRODUCT(([1]OUT_FinalEnergyCons!$B$4:$B$10000="var_ncap")*1,  (ISNUMBER(SEARCH("ITOT-SWHCOA*BR",[1]OUT_FinalEnergyCons!$A$4:$A$10000)))*1,[1]OUT_FinalEnergyCons!F$4:F$10000)</f>
        <v>4.5538370352441497E-6</v>
      </c>
      <c r="I2279" s="1" cm="1">
        <f t="array" ref="I2279">SUMPRODUCT(([1]OUT_FinalEnergyCons!$B$4:$B$10000="var_ncap")*1,  (ISNUMBER(SEARCH("ITOT-SWHCOA*BR",[1]OUT_FinalEnergyCons!$A$4:$A$10000)))*1,[1]OUT_FinalEnergyCons!G$4:G$10000)</f>
        <v>7.6266126911536699E-6</v>
      </c>
      <c r="J2279" s="1" cm="1">
        <f t="array" ref="J2279">SUMPRODUCT(([1]OUT_FinalEnergyCons!$B$4:$B$10000="var_ncap")*1,  (ISNUMBER(SEARCH("ITOT-SWHCOA*BR",[1]OUT_FinalEnergyCons!$A$4:$A$10000)))*1,[1]OUT_FinalEnergyCons!H$4:H$10000)</f>
        <v>5.9943825190438098E-6</v>
      </c>
      <c r="K2279" s="1" cm="1">
        <f t="array" ref="K2279">SUMPRODUCT(([1]OUT_FinalEnergyCons!$B$4:$B$10000="var_ncap")*1,  (ISNUMBER(SEARCH("ITOT-SWHCOA*BR",[1]OUT_FinalEnergyCons!$A$4:$A$10000)))*1,[1]OUT_FinalEnergyCons!I$4:I$10000)</f>
        <v>8.5293418970890101E-6</v>
      </c>
    </row>
    <row r="2280" spans="2:11" x14ac:dyDescent="0.35">
      <c r="B2280" s="5" t="str">
        <f t="shared" si="1323"/>
        <v>SPS4</v>
      </c>
      <c r="C2280" s="5" t="str">
        <f t="shared" si="1316"/>
        <v>CH</v>
      </c>
      <c r="D2280" t="s">
        <v>2425</v>
      </c>
      <c r="E2280" t="str">
        <f t="shared" si="1320"/>
        <v>GWth/yr.</v>
      </c>
      <c r="F2280" s="1">
        <f t="shared" ref="F2280:K2280" si="1343">F2281</f>
        <v>0</v>
      </c>
      <c r="G2280" s="1">
        <f t="shared" si="1343"/>
        <v>5.2265841772742398E-2</v>
      </c>
      <c r="H2280" s="1">
        <f t="shared" si="1343"/>
        <v>2.7834379948988001E-6</v>
      </c>
      <c r="I2280" s="1">
        <f t="shared" si="1343"/>
        <v>5.6613782061402903E-6</v>
      </c>
      <c r="J2280" s="1">
        <f t="shared" si="1343"/>
        <v>9.4157234839018694E-2</v>
      </c>
      <c r="K2280" s="1">
        <f t="shared" si="1343"/>
        <v>0.15025344949613301</v>
      </c>
    </row>
    <row r="2281" spans="2:11" x14ac:dyDescent="0.35">
      <c r="B2281" s="5" t="str">
        <f t="shared" si="1323"/>
        <v>SPS4</v>
      </c>
      <c r="C2281" s="5" t="str">
        <f t="shared" si="1316"/>
        <v>CH</v>
      </c>
      <c r="D2281" t="s">
        <v>2426</v>
      </c>
      <c r="E2281" t="str">
        <f t="shared" si="1320"/>
        <v>GWth/yr.</v>
      </c>
      <c r="F2281" s="1" cm="1">
        <f t="array" ref="F2281">SUMPRODUCT(([1]OUT_FinalEnergyCons!$B$4:$B$10000="var_ncap")*1,  (ISNUMBER(SEARCH("ITOT-SWHWOD*BR",[1]OUT_FinalEnergyCons!$A$4:$A$10000)))*1,[1]OUT_FinalEnergyCons!D$4:D$10000)</f>
        <v>0</v>
      </c>
      <c r="G2281" s="1" cm="1">
        <f t="array" ref="G2281">SUMPRODUCT(([1]OUT_FinalEnergyCons!$B$4:$B$10000="var_ncap")*1,  (ISNUMBER(SEARCH("ITOT-SWHWOD*BR",[1]OUT_FinalEnergyCons!$A$4:$A$10000)))*1,[1]OUT_FinalEnergyCons!E$4:E$10000)</f>
        <v>5.2265841772742398E-2</v>
      </c>
      <c r="H2281" s="1" cm="1">
        <f t="array" ref="H2281">SUMPRODUCT(([1]OUT_FinalEnergyCons!$B$4:$B$10000="var_ncap")*1,  (ISNUMBER(SEARCH("ITOT-SWHWOD*BR",[1]OUT_FinalEnergyCons!$A$4:$A$10000)))*1,[1]OUT_FinalEnergyCons!F$4:F$10000)</f>
        <v>2.7834379948988001E-6</v>
      </c>
      <c r="I2281" s="1" cm="1">
        <f t="array" ref="I2281">SUMPRODUCT(([1]OUT_FinalEnergyCons!$B$4:$B$10000="var_ncap")*1,  (ISNUMBER(SEARCH("ITOT-SWHWOD*BR",[1]OUT_FinalEnergyCons!$A$4:$A$10000)))*1,[1]OUT_FinalEnergyCons!G$4:G$10000)</f>
        <v>5.6613782061402903E-6</v>
      </c>
      <c r="J2281" s="1" cm="1">
        <f t="array" ref="J2281">SUMPRODUCT(([1]OUT_FinalEnergyCons!$B$4:$B$10000="var_ncap")*1,  (ISNUMBER(SEARCH("ITOT-SWHWOD*BR",[1]OUT_FinalEnergyCons!$A$4:$A$10000)))*1,[1]OUT_FinalEnergyCons!H$4:H$10000)</f>
        <v>9.4157234839018694E-2</v>
      </c>
      <c r="K2281" s="1" cm="1">
        <f t="array" ref="K2281">SUMPRODUCT(([1]OUT_FinalEnergyCons!$B$4:$B$10000="var_ncap")*1,  (ISNUMBER(SEARCH("ITOT-SWHWOD*BR",[1]OUT_FinalEnergyCons!$A$4:$A$10000)))*1,[1]OUT_FinalEnergyCons!I$4:I$10000)</f>
        <v>0.15025344949613301</v>
      </c>
    </row>
    <row r="2282" spans="2:11" x14ac:dyDescent="0.35">
      <c r="B2282" s="5" t="str">
        <f t="shared" si="1323"/>
        <v>SPS4</v>
      </c>
      <c r="C2282" s="5" t="str">
        <f t="shared" si="1316"/>
        <v>CH</v>
      </c>
      <c r="D2282" t="s">
        <v>2427</v>
      </c>
      <c r="E2282" t="str">
        <f t="shared" si="1320"/>
        <v>GWth/yr.</v>
      </c>
      <c r="F2282" s="1">
        <f t="shared" ref="F2282:K2282" si="1344">F2283</f>
        <v>0</v>
      </c>
      <c r="G2282" s="1">
        <f t="shared" si="1344"/>
        <v>8.1608913870229206E-3</v>
      </c>
      <c r="H2282" s="1">
        <f t="shared" si="1344"/>
        <v>2.62162775980626E-5</v>
      </c>
      <c r="I2282" s="1">
        <f t="shared" si="1344"/>
        <v>8.7569189374721103E-6</v>
      </c>
      <c r="J2282" s="1">
        <f t="shared" si="1344"/>
        <v>1.2099530897967699E-2</v>
      </c>
      <c r="K2282" s="1">
        <f t="shared" si="1344"/>
        <v>1.9274326999212499E-2</v>
      </c>
    </row>
    <row r="2283" spans="2:11" x14ac:dyDescent="0.35">
      <c r="B2283" s="5" t="str">
        <f t="shared" si="1323"/>
        <v>SPS4</v>
      </c>
      <c r="C2283" s="5" t="str">
        <f t="shared" si="1316"/>
        <v>CH</v>
      </c>
      <c r="D2283" t="s">
        <v>2428</v>
      </c>
      <c r="E2283" t="str">
        <f t="shared" si="1320"/>
        <v>GWth/yr.</v>
      </c>
      <c r="F2283" s="1" cm="1">
        <f t="array" ref="F2283">SUMPRODUCT(([1]OUT_FinalEnergyCons!$B$4:$B$10000="var_ncap")*1,  (ISNUMBER(SEARCH("ITOT-SWHPLT*BR",[1]OUT_FinalEnergyCons!$A$4:$A$10000)))*1,[1]OUT_FinalEnergyCons!D$4:D$10000)</f>
        <v>0</v>
      </c>
      <c r="G2283" s="1" cm="1">
        <f t="array" ref="G2283">SUMPRODUCT(([1]OUT_FinalEnergyCons!$B$4:$B$10000="var_ncap")*1,  (ISNUMBER(SEARCH("ITOT-SWHPLT*BR",[1]OUT_FinalEnergyCons!$A$4:$A$10000)))*1,[1]OUT_FinalEnergyCons!E$4:E$10000)</f>
        <v>8.1608913870229206E-3</v>
      </c>
      <c r="H2283" s="1" cm="1">
        <f t="array" ref="H2283">SUMPRODUCT(([1]OUT_FinalEnergyCons!$B$4:$B$10000="var_ncap")*1,  (ISNUMBER(SEARCH("ITOT-SWHPLT*BR",[1]OUT_FinalEnergyCons!$A$4:$A$10000)))*1,[1]OUT_FinalEnergyCons!F$4:F$10000)</f>
        <v>2.62162775980626E-5</v>
      </c>
      <c r="I2283" s="1" cm="1">
        <f t="array" ref="I2283">SUMPRODUCT(([1]OUT_FinalEnergyCons!$B$4:$B$10000="var_ncap")*1,  (ISNUMBER(SEARCH("ITOT-SWHPLT*BR",[1]OUT_FinalEnergyCons!$A$4:$A$10000)))*1,[1]OUT_FinalEnergyCons!G$4:G$10000)</f>
        <v>8.7569189374721103E-6</v>
      </c>
      <c r="J2283" s="1" cm="1">
        <f t="array" ref="J2283">SUMPRODUCT(([1]OUT_FinalEnergyCons!$B$4:$B$10000="var_ncap")*1,  (ISNUMBER(SEARCH("ITOT-SWHPLT*BR",[1]OUT_FinalEnergyCons!$A$4:$A$10000)))*1,[1]OUT_FinalEnergyCons!H$4:H$10000)</f>
        <v>1.2099530897967699E-2</v>
      </c>
      <c r="K2283" s="1" cm="1">
        <f t="array" ref="K2283">SUMPRODUCT(([1]OUT_FinalEnergyCons!$B$4:$B$10000="var_ncap")*1,  (ISNUMBER(SEARCH("ITOT-SWHPLT*BR",[1]OUT_FinalEnergyCons!$A$4:$A$10000)))*1,[1]OUT_FinalEnergyCons!I$4:I$10000)</f>
        <v>1.9274326999212499E-2</v>
      </c>
    </row>
    <row r="2284" spans="2:11" x14ac:dyDescent="0.35">
      <c r="B2284" s="5" t="str">
        <f t="shared" si="1323"/>
        <v>SPS4</v>
      </c>
      <c r="C2284" s="5" t="str">
        <f t="shared" si="1316"/>
        <v>CH</v>
      </c>
      <c r="D2284" t="s">
        <v>2429</v>
      </c>
      <c r="E2284" t="str">
        <f t="shared" si="1320"/>
        <v>GWth/yr.</v>
      </c>
      <c r="F2284" s="1">
        <f t="shared" ref="F2284:K2284" si="1345">F2285</f>
        <v>0</v>
      </c>
      <c r="G2284" s="1">
        <f t="shared" si="1345"/>
        <v>3.0273683449280999E-6</v>
      </c>
      <c r="H2284" s="1">
        <f t="shared" si="1345"/>
        <v>2.5987394680328499E-6</v>
      </c>
      <c r="I2284" s="1">
        <f t="shared" si="1345"/>
        <v>6.8734741935610096E-6</v>
      </c>
      <c r="J2284" s="1">
        <f t="shared" si="1345"/>
        <v>8.4766555825455905E-2</v>
      </c>
      <c r="K2284" s="1">
        <f t="shared" si="1345"/>
        <v>8.3148036121294497E-2</v>
      </c>
    </row>
    <row r="2285" spans="2:11" x14ac:dyDescent="0.35">
      <c r="B2285" s="5" t="str">
        <f t="shared" si="1323"/>
        <v>SPS4</v>
      </c>
      <c r="C2285" s="5" t="str">
        <f t="shared" ref="C2285:C2335" si="1346">C2284</f>
        <v>CH</v>
      </c>
      <c r="D2285" t="s">
        <v>2430</v>
      </c>
      <c r="E2285" t="str">
        <f t="shared" si="1320"/>
        <v>GWth/yr.</v>
      </c>
      <c r="F2285" s="1" cm="1">
        <f t="array" ref="F2285">SUMPRODUCT(([1]OUT_FinalEnergyCons!$B$4:$B$10000="var_ncap")*1,  (ISNUMBER(SEARCH("ITOT-SWHWST*BR",[1]OUT_FinalEnergyCons!$A$4:$A$10000)))*1,[1]OUT_FinalEnergyCons!D$4:D$10000)</f>
        <v>0</v>
      </c>
      <c r="G2285" s="1" cm="1">
        <f t="array" ref="G2285">SUMPRODUCT(([1]OUT_FinalEnergyCons!$B$4:$B$10000="var_ncap")*1,  (ISNUMBER(SEARCH("ITOT-SWHWST*BR",[1]OUT_FinalEnergyCons!$A$4:$A$10000)))*1,[1]OUT_FinalEnergyCons!E$4:E$10000)</f>
        <v>3.0273683449280999E-6</v>
      </c>
      <c r="H2285" s="1" cm="1">
        <f t="array" ref="H2285">SUMPRODUCT(([1]OUT_FinalEnergyCons!$B$4:$B$10000="var_ncap")*1,  (ISNUMBER(SEARCH("ITOT-SWHWST*BR",[1]OUT_FinalEnergyCons!$A$4:$A$10000)))*1,[1]OUT_FinalEnergyCons!F$4:F$10000)</f>
        <v>2.5987394680328499E-6</v>
      </c>
      <c r="I2285" s="1" cm="1">
        <f t="array" ref="I2285">SUMPRODUCT(([1]OUT_FinalEnergyCons!$B$4:$B$10000="var_ncap")*1,  (ISNUMBER(SEARCH("ITOT-SWHWST*BR",[1]OUT_FinalEnergyCons!$A$4:$A$10000)))*1,[1]OUT_FinalEnergyCons!G$4:G$10000)</f>
        <v>6.8734741935610096E-6</v>
      </c>
      <c r="J2285" s="1" cm="1">
        <f t="array" ref="J2285">SUMPRODUCT(([1]OUT_FinalEnergyCons!$B$4:$B$10000="var_ncap")*1,  (ISNUMBER(SEARCH("ITOT-SWHWST*BR",[1]OUT_FinalEnergyCons!$A$4:$A$10000)))*1,[1]OUT_FinalEnergyCons!H$4:H$10000)</f>
        <v>8.4766555825455905E-2</v>
      </c>
      <c r="K2285" s="1" cm="1">
        <f t="array" ref="K2285">SUMPRODUCT(([1]OUT_FinalEnergyCons!$B$4:$B$10000="var_ncap")*1,  (ISNUMBER(SEARCH("ITOT-SWHWST*BR",[1]OUT_FinalEnergyCons!$A$4:$A$10000)))*1,[1]OUT_FinalEnergyCons!I$4:I$10000)</f>
        <v>8.3148036121294497E-2</v>
      </c>
    </row>
    <row r="2286" spans="2:11" x14ac:dyDescent="0.35">
      <c r="B2286" s="5" t="str">
        <f t="shared" si="1323"/>
        <v>SPS4</v>
      </c>
      <c r="C2286" s="5" t="str">
        <f t="shared" si="1346"/>
        <v>CH</v>
      </c>
      <c r="D2286" t="s">
        <v>2431</v>
      </c>
      <c r="E2286" t="str">
        <f t="shared" si="1320"/>
        <v>GWth/yr.</v>
      </c>
      <c r="F2286" s="1">
        <f t="shared" ref="F2286:K2286" si="1347">F2287</f>
        <v>0</v>
      </c>
      <c r="G2286" s="1">
        <f t="shared" si="1347"/>
        <v>2.6520781788510698E-3</v>
      </c>
      <c r="H2286" s="1">
        <f t="shared" si="1347"/>
        <v>7.9768226931047699E-8</v>
      </c>
      <c r="I2286" s="1">
        <f t="shared" si="1347"/>
        <v>6.7929266482008702E-8</v>
      </c>
      <c r="J2286" s="1">
        <f t="shared" si="1347"/>
        <v>3.9027047598098399E-3</v>
      </c>
      <c r="K2286" s="1">
        <f t="shared" si="1347"/>
        <v>6.0097742867647802E-3</v>
      </c>
    </row>
    <row r="2287" spans="2:11" x14ac:dyDescent="0.35">
      <c r="B2287" s="5" t="str">
        <f t="shared" si="1323"/>
        <v>SPS4</v>
      </c>
      <c r="C2287" s="5" t="str">
        <f t="shared" si="1346"/>
        <v>CH</v>
      </c>
      <c r="D2287" t="s">
        <v>2432</v>
      </c>
      <c r="E2287" t="str">
        <f t="shared" si="1320"/>
        <v>GWth/yr.</v>
      </c>
      <c r="F2287" s="1" cm="1">
        <f t="array" ref="F2287">SUMPRODUCT(([1]OUT_FinalEnergyCons!$B$4:$B$10000="var_ncap")*1, (ISNUMBER(SEARCH("ITOT-SWHSOLBR",[1]OUT_FinalEnergyCons!$A$4:$A$10000)))*1,[1]OUT_FinalEnergyCons!D$4:D$10000)</f>
        <v>0</v>
      </c>
      <c r="G2287" s="1" cm="1">
        <f t="array" ref="G2287">SUMPRODUCT(([1]OUT_FinalEnergyCons!$B$4:$B$10000="var_ncap")*1, (ISNUMBER(SEARCH("ITOT-SWHSOLBR",[1]OUT_FinalEnergyCons!$A$4:$A$10000)))*1,[1]OUT_FinalEnergyCons!E$4:E$10000)</f>
        <v>2.6520781788510698E-3</v>
      </c>
      <c r="H2287" s="1" cm="1">
        <f t="array" ref="H2287">SUMPRODUCT(([1]OUT_FinalEnergyCons!$B$4:$B$10000="var_ncap")*1, (ISNUMBER(SEARCH("ITOT-SWHSOLBR",[1]OUT_FinalEnergyCons!$A$4:$A$10000)))*1,[1]OUT_FinalEnergyCons!F$4:F$10000)</f>
        <v>7.9768226931047699E-8</v>
      </c>
      <c r="I2287" s="1" cm="1">
        <f t="array" ref="I2287">SUMPRODUCT(([1]OUT_FinalEnergyCons!$B$4:$B$10000="var_ncap")*1, (ISNUMBER(SEARCH("ITOT-SWHSOLBR",[1]OUT_FinalEnergyCons!$A$4:$A$10000)))*1,[1]OUT_FinalEnergyCons!G$4:G$10000)</f>
        <v>6.7929266482008702E-8</v>
      </c>
      <c r="J2287" s="1" cm="1">
        <f t="array" ref="J2287">SUMPRODUCT(([1]OUT_FinalEnergyCons!$B$4:$B$10000="var_ncap")*1, (ISNUMBER(SEARCH("ITOT-SWHSOLBR",[1]OUT_FinalEnergyCons!$A$4:$A$10000)))*1,[1]OUT_FinalEnergyCons!H$4:H$10000)</f>
        <v>3.9027047598098399E-3</v>
      </c>
      <c r="K2287" s="1" cm="1">
        <f t="array" ref="K2287">SUMPRODUCT(([1]OUT_FinalEnergyCons!$B$4:$B$10000="var_ncap")*1, (ISNUMBER(SEARCH("ITOT-SWHSOLBR",[1]OUT_FinalEnergyCons!$A$4:$A$10000)))*1,[1]OUT_FinalEnergyCons!I$4:I$10000)</f>
        <v>6.0097742867647802E-3</v>
      </c>
    </row>
    <row r="2288" spans="2:11" x14ac:dyDescent="0.35">
      <c r="B2288" s="5" t="str">
        <f t="shared" si="1323"/>
        <v>SPS4</v>
      </c>
      <c r="C2288" s="5" t="str">
        <f t="shared" si="1346"/>
        <v>CH</v>
      </c>
      <c r="D2288" t="s">
        <v>2433</v>
      </c>
      <c r="E2288" t="str">
        <f t="shared" si="1320"/>
        <v>GWth/yr.</v>
      </c>
      <c r="F2288" s="1">
        <f t="shared" ref="F2288:K2288" si="1348">F2289</f>
        <v>0</v>
      </c>
      <c r="G2288" s="1">
        <f t="shared" si="1348"/>
        <v>0</v>
      </c>
      <c r="H2288" s="1">
        <f t="shared" si="1348"/>
        <v>0</v>
      </c>
      <c r="I2288" s="1">
        <f t="shared" si="1348"/>
        <v>1.4728378373784401E-3</v>
      </c>
      <c r="J2288" s="1">
        <f t="shared" si="1348"/>
        <v>9.0621234100670995E-4</v>
      </c>
      <c r="K2288" s="1">
        <f t="shared" si="1348"/>
        <v>7.4268508435420804E-3</v>
      </c>
    </row>
    <row r="2289" spans="2:11" x14ac:dyDescent="0.35">
      <c r="B2289" s="5" t="str">
        <f t="shared" si="1323"/>
        <v>SPS4</v>
      </c>
      <c r="C2289" s="5" t="str">
        <f t="shared" si="1346"/>
        <v>CH</v>
      </c>
      <c r="D2289" t="s">
        <v>2434</v>
      </c>
      <c r="E2289" t="str">
        <f t="shared" si="1320"/>
        <v>GWth/yr.</v>
      </c>
      <c r="F2289" s="1" cm="1">
        <f t="array" ref="F2289">SUMPRODUCT(([1]OUT_FinalEnergyCons!$B$4:$B$10000="var_ncap")*1, (ISNUMBER(SEARCH("ITOT-SWHH2BR",[1]OUT_FinalEnergyCons!$A$4:$A$10000)))*1,[1]OUT_FinalEnergyCons!D$4:D$10000)</f>
        <v>0</v>
      </c>
      <c r="G2289" s="1" cm="1">
        <f t="array" ref="G2289">SUMPRODUCT(([1]OUT_FinalEnergyCons!$B$4:$B$10000="var_ncap")*1, (ISNUMBER(SEARCH("ITOT-SWHH2BR",[1]OUT_FinalEnergyCons!$A$4:$A$10000)))*1,[1]OUT_FinalEnergyCons!E$4:E$10000)</f>
        <v>0</v>
      </c>
      <c r="H2289" s="1" cm="1">
        <f t="array" ref="H2289">SUMPRODUCT(([1]OUT_FinalEnergyCons!$B$4:$B$10000="var_ncap")*1, (ISNUMBER(SEARCH("ITOT-SWHH2BR",[1]OUT_FinalEnergyCons!$A$4:$A$10000)))*1,[1]OUT_FinalEnergyCons!F$4:F$10000)</f>
        <v>0</v>
      </c>
      <c r="I2289" s="1" cm="1">
        <f t="array" ref="I2289">SUMPRODUCT(([1]OUT_FinalEnergyCons!$B$4:$B$10000="var_ncap")*1, (ISNUMBER(SEARCH("ITOT-SWHH2BR",[1]OUT_FinalEnergyCons!$A$4:$A$10000)))*1,[1]OUT_FinalEnergyCons!G$4:G$10000)</f>
        <v>1.4728378373784401E-3</v>
      </c>
      <c r="J2289" s="1" cm="1">
        <f t="array" ref="J2289">SUMPRODUCT(([1]OUT_FinalEnergyCons!$B$4:$B$10000="var_ncap")*1, (ISNUMBER(SEARCH("ITOT-SWHH2BR",[1]OUT_FinalEnergyCons!$A$4:$A$10000)))*1,[1]OUT_FinalEnergyCons!H$4:H$10000)</f>
        <v>9.0621234100670995E-4</v>
      </c>
      <c r="K2289" s="1" cm="1">
        <f t="array" ref="K2289">SUMPRODUCT(([1]OUT_FinalEnergyCons!$B$4:$B$10000="var_ncap")*1, (ISNUMBER(SEARCH("ITOT-SWHH2BR",[1]OUT_FinalEnergyCons!$A$4:$A$10000)))*1,[1]OUT_FinalEnergyCons!I$4:I$10000)</f>
        <v>7.4268508435420804E-3</v>
      </c>
    </row>
    <row r="2290" spans="2:11" x14ac:dyDescent="0.35">
      <c r="B2290" s="9" t="str">
        <f t="shared" si="1323"/>
        <v>SPS4</v>
      </c>
      <c r="C2290" s="9" t="str">
        <f t="shared" si="1346"/>
        <v>CH</v>
      </c>
      <c r="D2290" s="2" t="s">
        <v>2195</v>
      </c>
      <c r="E2290" s="9" t="str">
        <f t="shared" si="1320"/>
        <v>GWth/yr.</v>
      </c>
      <c r="F2290" s="17">
        <f t="shared" ref="F2290:K2290" si="1349">SUM(F2291,F2294,F2296,F2300,F2302,F2304,F2306)</f>
        <v>2.7492124836767541E-5</v>
      </c>
      <c r="G2290" s="17">
        <f t="shared" si="1349"/>
        <v>7.8671988252656921E-2</v>
      </c>
      <c r="H2290" s="17">
        <f t="shared" si="1349"/>
        <v>0.13597162738191926</v>
      </c>
      <c r="I2290" s="17">
        <f t="shared" si="1349"/>
        <v>0.27118359280068538</v>
      </c>
      <c r="J2290" s="17">
        <f t="shared" si="1349"/>
        <v>1.7495295387580829</v>
      </c>
      <c r="K2290" s="17">
        <f t="shared" si="1349"/>
        <v>2.05867831624909</v>
      </c>
    </row>
    <row r="2291" spans="2:11" x14ac:dyDescent="0.35">
      <c r="B2291" s="5" t="str">
        <f t="shared" si="1323"/>
        <v>SPS4</v>
      </c>
      <c r="C2291" s="5" t="str">
        <f t="shared" si="1346"/>
        <v>CH</v>
      </c>
      <c r="D2291" t="s">
        <v>2435</v>
      </c>
      <c r="E2291" t="str">
        <f t="shared" si="1320"/>
        <v>GWth/yr.</v>
      </c>
      <c r="F2291" s="1">
        <f t="shared" ref="F2291:K2291" si="1350">SUM(F2292:F2293)</f>
        <v>1.6038464603029299E-6</v>
      </c>
      <c r="G2291" s="1">
        <f t="shared" si="1350"/>
        <v>9.4495904587938997E-7</v>
      </c>
      <c r="H2291" s="1">
        <f t="shared" si="1350"/>
        <v>1.175688751677443E-6</v>
      </c>
      <c r="I2291" s="1">
        <f t="shared" si="1350"/>
        <v>0.13845982546183738</v>
      </c>
      <c r="J2291" s="1">
        <f t="shared" si="1350"/>
        <v>0.3243395371989824</v>
      </c>
      <c r="K2291" s="1">
        <f t="shared" si="1350"/>
        <v>0.75681719221577526</v>
      </c>
    </row>
    <row r="2292" spans="2:11" x14ac:dyDescent="0.35">
      <c r="B2292" s="5" t="str">
        <f t="shared" si="1323"/>
        <v>SPS4</v>
      </c>
      <c r="C2292" s="5" t="str">
        <f t="shared" si="1346"/>
        <v>CH</v>
      </c>
      <c r="D2292" t="s">
        <v>2436</v>
      </c>
      <c r="E2292" t="str">
        <f t="shared" si="1320"/>
        <v>GWth/yr.</v>
      </c>
      <c r="F2292" s="1" cm="1">
        <f t="array" ref="F2292">SUMPRODUCT(([1]OUT_FinalEnergyCons!$B$4:$B$10000="var_ncap")*1, (ISNUMBER(SEARCH("SCOM-SHELCBR",[1]OUT_FinalEnergyCons!$A$4:$A$10000)))*1,[1]OUT_FinalEnergyCons!D$4:D$10000)</f>
        <v>1.4972537189435399E-6</v>
      </c>
      <c r="G2292" s="1" cm="1">
        <f t="array" ref="G2292">SUMPRODUCT(([1]OUT_FinalEnergyCons!$B$4:$B$10000="var_ncap")*1, (ISNUMBER(SEARCH("SCOM-SHELCBR",[1]OUT_FinalEnergyCons!$A$4:$A$10000)))*1,[1]OUT_FinalEnergyCons!E$4:E$10000)</f>
        <v>7.7479401702703198E-7</v>
      </c>
      <c r="H2292" s="1" cm="1">
        <f t="array" ref="H2292">SUMPRODUCT(([1]OUT_FinalEnergyCons!$B$4:$B$10000="var_ncap")*1, (ISNUMBER(SEARCH("SCOM-SHELCBR",[1]OUT_FinalEnergyCons!$A$4:$A$10000)))*1,[1]OUT_FinalEnergyCons!F$4:F$10000)</f>
        <v>6.6745526418348099E-7</v>
      </c>
      <c r="I2292" s="1" cm="1">
        <f t="array" ref="I2292">SUMPRODUCT(([1]OUT_FinalEnergyCons!$B$4:$B$10000="var_ncap")*1, (ISNUMBER(SEARCH("SCOM-SHELCBR",[1]OUT_FinalEnergyCons!$A$4:$A$10000)))*1,[1]OUT_FinalEnergyCons!G$4:G$10000)</f>
        <v>1.23573468138826E-6</v>
      </c>
      <c r="J2292" s="1" cm="1">
        <f t="array" ref="J2292">SUMPRODUCT(([1]OUT_FinalEnergyCons!$B$4:$B$10000="var_ncap")*1, (ISNUMBER(SEARCH("SCOM-SHELCBR",[1]OUT_FinalEnergyCons!$A$4:$A$10000)))*1,[1]OUT_FinalEnergyCons!H$4:H$10000)</f>
        <v>2.0249680976091401E-2</v>
      </c>
      <c r="K2292" s="1" cm="1">
        <f t="array" ref="K2292">SUMPRODUCT(([1]OUT_FinalEnergyCons!$B$4:$B$10000="var_ncap")*1, (ISNUMBER(SEARCH("SCOM-SHELCBR",[1]OUT_FinalEnergyCons!$A$4:$A$10000)))*1,[1]OUT_FinalEnergyCons!I$4:I$10000)</f>
        <v>2.4075372936223799E-5</v>
      </c>
    </row>
    <row r="2293" spans="2:11" x14ac:dyDescent="0.35">
      <c r="B2293" s="5" t="str">
        <f t="shared" si="1323"/>
        <v>SPS4</v>
      </c>
      <c r="C2293" s="5" t="str">
        <f t="shared" si="1346"/>
        <v>CH</v>
      </c>
      <c r="D2293" t="s">
        <v>2437</v>
      </c>
      <c r="E2293" t="str">
        <f t="shared" si="1320"/>
        <v>GWth/yr.</v>
      </c>
      <c r="F2293" s="1" cm="1">
        <f t="array" ref="F2293">SUMPRODUCT(([1]OUT_FinalEnergyCons!$B$4:$B$10000="var_ncap")*1, (ISNUMBER(SEARCH("SCOM-SHELCHP",[1]OUT_FinalEnergyCons!$A$4:$A$10000)))*1,[1]OUT_FinalEnergyCons!D$4:D$10000)</f>
        <v>1.0659274135939E-7</v>
      </c>
      <c r="G2293" s="1" cm="1">
        <f t="array" ref="G2293">SUMPRODUCT(([1]OUT_FinalEnergyCons!$B$4:$B$10000="var_ncap")*1, (ISNUMBER(SEARCH("SCOM-SHELCHP",[1]OUT_FinalEnergyCons!$A$4:$A$10000)))*1,[1]OUT_FinalEnergyCons!E$4:E$10000)</f>
        <v>1.7016502885235799E-7</v>
      </c>
      <c r="H2293" s="1" cm="1">
        <f t="array" ref="H2293">SUMPRODUCT(([1]OUT_FinalEnergyCons!$B$4:$B$10000="var_ncap")*1, (ISNUMBER(SEARCH("SCOM-SHELCHP",[1]OUT_FinalEnergyCons!$A$4:$A$10000)))*1,[1]OUT_FinalEnergyCons!F$4:F$10000)</f>
        <v>5.0823348749396197E-7</v>
      </c>
      <c r="I2293" s="1" cm="1">
        <f t="array" ref="I2293">SUMPRODUCT(([1]OUT_FinalEnergyCons!$B$4:$B$10000="var_ncap")*1, (ISNUMBER(SEARCH("SCOM-SHELCHP",[1]OUT_FinalEnergyCons!$A$4:$A$10000)))*1,[1]OUT_FinalEnergyCons!G$4:G$10000)</f>
        <v>0.138458589727156</v>
      </c>
      <c r="J2293" s="1" cm="1">
        <f t="array" ref="J2293">SUMPRODUCT(([1]OUT_FinalEnergyCons!$B$4:$B$10000="var_ncap")*1, (ISNUMBER(SEARCH("SCOM-SHELCHP",[1]OUT_FinalEnergyCons!$A$4:$A$10000)))*1,[1]OUT_FinalEnergyCons!H$4:H$10000)</f>
        <v>0.30408985622289098</v>
      </c>
      <c r="K2293" s="1" cm="1">
        <f t="array" ref="K2293">SUMPRODUCT(([1]OUT_FinalEnergyCons!$B$4:$B$10000="var_ncap")*1, (ISNUMBER(SEARCH("SCOM-SHELCHP",[1]OUT_FinalEnergyCons!$A$4:$A$10000)))*1,[1]OUT_FinalEnergyCons!I$4:I$10000)</f>
        <v>0.75679311684283901</v>
      </c>
    </row>
    <row r="2294" spans="2:11" x14ac:dyDescent="0.35">
      <c r="B2294" s="5" t="str">
        <f t="shared" si="1323"/>
        <v>SPS4</v>
      </c>
      <c r="C2294" s="5" t="str">
        <f t="shared" si="1346"/>
        <v>CH</v>
      </c>
      <c r="D2294" t="s">
        <v>2438</v>
      </c>
      <c r="E2294" t="str">
        <f t="shared" si="1320"/>
        <v>GWth/yr.</v>
      </c>
      <c r="F2294" s="1">
        <f t="shared" ref="F2294:K2294" si="1351">F2295</f>
        <v>7.5025959138792997E-7</v>
      </c>
      <c r="G2294" s="1">
        <f t="shared" si="1351"/>
        <v>5.8643154157937802E-7</v>
      </c>
      <c r="H2294" s="1">
        <f t="shared" si="1351"/>
        <v>3.8221025410834499E-7</v>
      </c>
      <c r="I2294" s="1">
        <f t="shared" si="1351"/>
        <v>5.8226531734526703E-7</v>
      </c>
      <c r="J2294" s="1">
        <f t="shared" si="1351"/>
        <v>0.30078912837635402</v>
      </c>
      <c r="K2294" s="1">
        <f t="shared" si="1351"/>
        <v>9.1537275134625097E-7</v>
      </c>
    </row>
    <row r="2295" spans="2:11" x14ac:dyDescent="0.35">
      <c r="B2295" s="5" t="str">
        <f t="shared" si="1323"/>
        <v>SPS4</v>
      </c>
      <c r="C2295" s="5" t="str">
        <f t="shared" si="1346"/>
        <v>CH</v>
      </c>
      <c r="D2295" t="s">
        <v>2439</v>
      </c>
      <c r="E2295" t="str">
        <f t="shared" ref="E2295:E2307" si="1352">E2294</f>
        <v>GWth/yr.</v>
      </c>
      <c r="F2295" s="1" cm="1">
        <f t="array" ref="F2295">SUMPRODUCT(([1]OUT_FinalEnergyCons!$B$4:$B$10000="var_ncap")*1,(ISNUMBER(SEARCH("SCOM-SHLFOBR",[1]OUT_FinalEnergyCons!$A$4:$A$10000)))*1,[1]OUT_FinalEnergyCons!D$4:D$10000)</f>
        <v>7.5025959138792997E-7</v>
      </c>
      <c r="G2295" s="1" cm="1">
        <f t="array" ref="G2295">SUMPRODUCT(([1]OUT_FinalEnergyCons!$B$4:$B$10000="var_ncap")*1,(ISNUMBER(SEARCH("SCOM-SHLFOBR",[1]OUT_FinalEnergyCons!$A$4:$A$10000)))*1,[1]OUT_FinalEnergyCons!E$4:E$10000)</f>
        <v>5.8643154157937802E-7</v>
      </c>
      <c r="H2295" s="1" cm="1">
        <f t="array" ref="H2295">SUMPRODUCT(([1]OUT_FinalEnergyCons!$B$4:$B$10000="var_ncap")*1,(ISNUMBER(SEARCH("SCOM-SHLFOBR",[1]OUT_FinalEnergyCons!$A$4:$A$10000)))*1,[1]OUT_FinalEnergyCons!F$4:F$10000)</f>
        <v>3.8221025410834499E-7</v>
      </c>
      <c r="I2295" s="1" cm="1">
        <f t="array" ref="I2295">SUMPRODUCT(([1]OUT_FinalEnergyCons!$B$4:$B$10000="var_ncap")*1,(ISNUMBER(SEARCH("SCOM-SHLFOBR",[1]OUT_FinalEnergyCons!$A$4:$A$10000)))*1,[1]OUT_FinalEnergyCons!G$4:G$10000)</f>
        <v>5.8226531734526703E-7</v>
      </c>
      <c r="J2295" s="1" cm="1">
        <f t="array" ref="J2295">SUMPRODUCT(([1]OUT_FinalEnergyCons!$B$4:$B$10000="var_ncap")*1,(ISNUMBER(SEARCH("SCOM-SHLFOBR",[1]OUT_FinalEnergyCons!$A$4:$A$10000)))*1,[1]OUT_FinalEnergyCons!H$4:H$10000)</f>
        <v>0.30078912837635402</v>
      </c>
      <c r="K2295" s="1" cm="1">
        <f t="array" ref="K2295">SUMPRODUCT(([1]OUT_FinalEnergyCons!$B$4:$B$10000="var_ncap")*1,(ISNUMBER(SEARCH("SCOM-SHLFOBR",[1]OUT_FinalEnergyCons!$A$4:$A$10000)))*1,[1]OUT_FinalEnergyCons!I$4:I$10000)</f>
        <v>9.1537275134625097E-7</v>
      </c>
    </row>
    <row r="2296" spans="2:11" x14ac:dyDescent="0.35">
      <c r="B2296" s="5" t="str">
        <f t="shared" si="1323"/>
        <v>SPS4</v>
      </c>
      <c r="C2296" s="5" t="str">
        <f t="shared" si="1346"/>
        <v>CH</v>
      </c>
      <c r="D2296" t="s">
        <v>2440</v>
      </c>
      <c r="E2296" t="str">
        <f t="shared" si="1352"/>
        <v>GWth/yr.</v>
      </c>
      <c r="F2296" s="1">
        <f t="shared" ref="F2296:K2296" si="1353">SUM(F2297:F2299)</f>
        <v>1.020195502184711E-6</v>
      </c>
      <c r="G2296" s="1">
        <f t="shared" si="1353"/>
        <v>2.9039069091426425E-5</v>
      </c>
      <c r="H2296" s="1">
        <f t="shared" si="1353"/>
        <v>0.1359679251462366</v>
      </c>
      <c r="I2296" s="1">
        <f t="shared" si="1353"/>
        <v>0.13271716571506798</v>
      </c>
      <c r="J2296" s="1">
        <f t="shared" si="1353"/>
        <v>0.86441249784622887</v>
      </c>
      <c r="K2296" s="1">
        <f t="shared" si="1353"/>
        <v>0.59135202009769683</v>
      </c>
    </row>
    <row r="2297" spans="2:11" x14ac:dyDescent="0.35">
      <c r="B2297" s="5" t="str">
        <f t="shared" si="1323"/>
        <v>SPS4</v>
      </c>
      <c r="C2297" s="5" t="str">
        <f t="shared" si="1346"/>
        <v>CH</v>
      </c>
      <c r="D2297" t="s">
        <v>2441</v>
      </c>
      <c r="E2297" t="str">
        <f t="shared" si="1352"/>
        <v>GWth/yr.</v>
      </c>
      <c r="F2297" s="1" cm="1">
        <f t="array" ref="F2297">SUMPRODUCT(([1]OUT_FinalEnergyCons!$B$4:$B$10000="var_ncap")*1, (ISNUMBER(SEARCH("SCOM-SHNGABR",[1]OUT_FinalEnergyCons!$A$4:$A$10000)))*1,[1]OUT_FinalEnergyCons!D$4:D$10000)</f>
        <v>1.62367617809229E-7</v>
      </c>
      <c r="G2297" s="1" cm="1">
        <f t="array" ref="G2297">SUMPRODUCT(([1]OUT_FinalEnergyCons!$B$4:$B$10000="var_ncap")*1, (ISNUMBER(SEARCH("SCOM-SHNGABR",[1]OUT_FinalEnergyCons!$A$4:$A$10000)))*1,[1]OUT_FinalEnergyCons!E$4:E$10000)</f>
        <v>5.03541576782154E-7</v>
      </c>
      <c r="H2297" s="1" cm="1">
        <f t="array" ref="H2297">SUMPRODUCT(([1]OUT_FinalEnergyCons!$B$4:$B$10000="var_ncap")*1, (ISNUMBER(SEARCH("SCOM-SHNGABR",[1]OUT_FinalEnergyCons!$A$4:$A$10000)))*1,[1]OUT_FinalEnergyCons!F$4:F$10000)</f>
        <v>4.5538114196217702E-7</v>
      </c>
      <c r="I2297" s="1" cm="1">
        <f t="array" ref="I2297">SUMPRODUCT(([1]OUT_FinalEnergyCons!$B$4:$B$10000="var_ncap")*1, (ISNUMBER(SEARCH("SCOM-SHNGABR",[1]OUT_FinalEnergyCons!$A$4:$A$10000)))*1,[1]OUT_FinalEnergyCons!G$4:G$10000)</f>
        <v>7.7698399078114996E-7</v>
      </c>
      <c r="J2297" s="1" cm="1">
        <f t="array" ref="J2297">SUMPRODUCT(([1]OUT_FinalEnergyCons!$B$4:$B$10000="var_ncap")*1, (ISNUMBER(SEARCH("SCOM-SHNGABR",[1]OUT_FinalEnergyCons!$A$4:$A$10000)))*1,[1]OUT_FinalEnergyCons!H$4:H$10000)</f>
        <v>0.61702780527987999</v>
      </c>
      <c r="K2297" s="1" cm="1">
        <f t="array" ref="K2297">SUMPRODUCT(([1]OUT_FinalEnergyCons!$B$4:$B$10000="var_ncap")*1, (ISNUMBER(SEARCH("SCOM-SHNGABR",[1]OUT_FinalEnergyCons!$A$4:$A$10000)))*1,[1]OUT_FinalEnergyCons!I$4:I$10000)</f>
        <v>0.14246995346461</v>
      </c>
    </row>
    <row r="2298" spans="2:11" x14ac:dyDescent="0.35">
      <c r="B2298" s="5" t="str">
        <f t="shared" si="1323"/>
        <v>SPS4</v>
      </c>
      <c r="C2298" s="5" t="str">
        <f t="shared" si="1346"/>
        <v>CH</v>
      </c>
      <c r="D2298" t="s">
        <v>2442</v>
      </c>
      <c r="E2298" t="str">
        <f t="shared" si="1352"/>
        <v>GWth/yr.</v>
      </c>
      <c r="F2298" s="1" cm="1">
        <f t="array" ref="F2298">SUMPRODUCT(([1]OUT_FinalEnergyCons!$B$4:$B$10000="var_ncap")*1, (ISNUMBER(SEARCH("SCOM-SHngahp",[1]OUT_FinalEnergyCons!$A$4:$A$10000)))*1,[1]OUT_FinalEnergyCons!D$4:D$10000)</f>
        <v>3.7553150614274298E-7</v>
      </c>
      <c r="G2298" s="1" cm="1">
        <f t="array" ref="G2298">SUMPRODUCT(([1]OUT_FinalEnergyCons!$B$4:$B$10000="var_ncap")*1, (ISNUMBER(SEARCH("SCOM-SHngahp",[1]OUT_FinalEnergyCons!$A$4:$A$10000)))*1,[1]OUT_FinalEnergyCons!E$4:E$10000)</f>
        <v>2.62117917485284E-5</v>
      </c>
      <c r="H2298" s="1" cm="1">
        <f t="array" ref="H2298">SUMPRODUCT(([1]OUT_FinalEnergyCons!$B$4:$B$10000="var_ncap")*1, (ISNUMBER(SEARCH("SCOM-SHngahp",[1]OUT_FinalEnergyCons!$A$4:$A$10000)))*1,[1]OUT_FinalEnergyCons!F$4:F$10000)</f>
        <v>0.13596697666853999</v>
      </c>
      <c r="I2298" s="1" cm="1">
        <f t="array" ref="I2298">SUMPRODUCT(([1]OUT_FinalEnergyCons!$B$4:$B$10000="var_ncap")*1, (ISNUMBER(SEARCH("SCOM-SHngahp",[1]OUT_FinalEnergyCons!$A$4:$A$10000)))*1,[1]OUT_FinalEnergyCons!G$4:G$10000)</f>
        <v>0.13271581103934099</v>
      </c>
      <c r="J2298" s="1" cm="1">
        <f t="array" ref="J2298">SUMPRODUCT(([1]OUT_FinalEnergyCons!$B$4:$B$10000="var_ncap")*1, (ISNUMBER(SEARCH("SCOM-SHngahp",[1]OUT_FinalEnergyCons!$A$4:$A$10000)))*1,[1]OUT_FinalEnergyCons!H$4:H$10000)</f>
        <v>0.247338062791502</v>
      </c>
      <c r="K2298" s="1" cm="1">
        <f t="array" ref="K2298">SUMPRODUCT(([1]OUT_FinalEnergyCons!$B$4:$B$10000="var_ncap")*1, (ISNUMBER(SEARCH("SCOM-SHngahp",[1]OUT_FinalEnergyCons!$A$4:$A$10000)))*1,[1]OUT_FinalEnergyCons!I$4:I$10000)</f>
        <v>0.448865140268707</v>
      </c>
    </row>
    <row r="2299" spans="2:11" x14ac:dyDescent="0.35">
      <c r="B2299" s="5" t="str">
        <f t="shared" si="1323"/>
        <v>SPS4</v>
      </c>
      <c r="C2299" s="5" t="str">
        <f t="shared" si="1346"/>
        <v>CH</v>
      </c>
      <c r="D2299" t="s">
        <v>2443</v>
      </c>
      <c r="E2299" t="str">
        <f t="shared" si="1352"/>
        <v>GWth/yr.</v>
      </c>
      <c r="F2299" s="1" cm="1">
        <f t="array" ref="F2299">SUMPRODUCT(([1]OUT_FinalEnergyCons!$B$4:$B$10000="var_ncap")*1, (("SCOM-SHBIOBR"=[1]OUT_FinalEnergyCons!$A$4:$A$10000)*1+("SCOM-SHBNGABR"=[1]OUT_FinalEnergyCons!$A$4:$A$10000)*1),[1]OUT_FinalEnergyCons!D$4:D$10000)</f>
        <v>4.8229637823273905E-7</v>
      </c>
      <c r="G2299" s="1" cm="1">
        <f t="array" ref="G2299">SUMPRODUCT(([1]OUT_FinalEnergyCons!$B$4:$B$10000="var_ncap")*1, (("SCOM-SHBIOBR"=[1]OUT_FinalEnergyCons!$A$4:$A$10000)*1+("SCOM-SHBNGABR"=[1]OUT_FinalEnergyCons!$A$4:$A$10000)*1),[1]OUT_FinalEnergyCons!E$4:E$10000)</f>
        <v>2.3237357661158701E-6</v>
      </c>
      <c r="H2299" s="1" cm="1">
        <f t="array" ref="H2299">SUMPRODUCT(([1]OUT_FinalEnergyCons!$B$4:$B$10000="var_ncap")*1, (("SCOM-SHBIOBR"=[1]OUT_FinalEnergyCons!$A$4:$A$10000)*1+("SCOM-SHBNGABR"=[1]OUT_FinalEnergyCons!$A$4:$A$10000)*1),[1]OUT_FinalEnergyCons!F$4:F$10000)</f>
        <v>4.9309655464782804E-7</v>
      </c>
      <c r="I2299" s="1" cm="1">
        <f t="array" ref="I2299">SUMPRODUCT(([1]OUT_FinalEnergyCons!$B$4:$B$10000="var_ncap")*1, (("SCOM-SHBIOBR"=[1]OUT_FinalEnergyCons!$A$4:$A$10000)*1+("SCOM-SHBNGABR"=[1]OUT_FinalEnergyCons!$A$4:$A$10000)*1),[1]OUT_FinalEnergyCons!G$4:G$10000)</f>
        <v>5.7769173621138796E-7</v>
      </c>
      <c r="J2299" s="1" cm="1">
        <f t="array" ref="J2299">SUMPRODUCT(([1]OUT_FinalEnergyCons!$B$4:$B$10000="var_ncap")*1, (("SCOM-SHBIOBR"=[1]OUT_FinalEnergyCons!$A$4:$A$10000)*1+("SCOM-SHBNGABR"=[1]OUT_FinalEnergyCons!$A$4:$A$10000)*1),[1]OUT_FinalEnergyCons!H$4:H$10000)</f>
        <v>4.66297748468779E-5</v>
      </c>
      <c r="K2299" s="1" cm="1">
        <f t="array" ref="K2299">SUMPRODUCT(([1]OUT_FinalEnergyCons!$B$4:$B$10000="var_ncap")*1, (("SCOM-SHBIOBR"=[1]OUT_FinalEnergyCons!$A$4:$A$10000)*1+("SCOM-SHBNGABR"=[1]OUT_FinalEnergyCons!$A$4:$A$10000)*1),[1]OUT_FinalEnergyCons!I$4:I$10000)</f>
        <v>1.69263643797682E-5</v>
      </c>
    </row>
    <row r="2300" spans="2:11" x14ac:dyDescent="0.35">
      <c r="B2300" s="5" t="str">
        <f t="shared" si="1323"/>
        <v>SPS4</v>
      </c>
      <c r="C2300" s="5" t="str">
        <f t="shared" si="1346"/>
        <v>CH</v>
      </c>
      <c r="D2300" t="s">
        <v>2444</v>
      </c>
      <c r="E2300" t="str">
        <f t="shared" si="1352"/>
        <v>GWth/yr.</v>
      </c>
      <c r="F2300" s="1">
        <f t="shared" ref="F2300:K2300" si="1354">F2301</f>
        <v>8.3298746566447607E-6</v>
      </c>
      <c r="G2300" s="1">
        <f t="shared" si="1354"/>
        <v>4.55204000918807E-2</v>
      </c>
      <c r="H2300" s="1">
        <f t="shared" si="1354"/>
        <v>1.5148775297700601E-6</v>
      </c>
      <c r="I2300" s="1">
        <f t="shared" si="1354"/>
        <v>2.3552408193978699E-6</v>
      </c>
      <c r="J2300" s="1">
        <f t="shared" si="1354"/>
        <v>0.113591116071452</v>
      </c>
      <c r="K2300" s="1">
        <f t="shared" si="1354"/>
        <v>0.174958616690743</v>
      </c>
    </row>
    <row r="2301" spans="2:11" x14ac:dyDescent="0.35">
      <c r="B2301" s="5" t="str">
        <f t="shared" si="1323"/>
        <v>SPS4</v>
      </c>
      <c r="C2301" s="5" t="str">
        <f t="shared" si="1346"/>
        <v>CH</v>
      </c>
      <c r="D2301" t="s">
        <v>2445</v>
      </c>
      <c r="E2301" t="str">
        <f t="shared" si="1352"/>
        <v>GWth/yr.</v>
      </c>
      <c r="F2301" s="1" cm="1">
        <f t="array" ref="F2301">SUMPRODUCT(([1]OUT_FinalEnergyCons!$B$4:$B$10000="var_ncap")*1, (ISNUMBER(SEARCH("SCOM-SHWODBR",[1]OUT_FinalEnergyCons!$A$4:$A$10000)))*1,[1]OUT_FinalEnergyCons!D$4:D$10000)</f>
        <v>8.3298746566447607E-6</v>
      </c>
      <c r="G2301" s="1" cm="1">
        <f t="array" ref="G2301">SUMPRODUCT(([1]OUT_FinalEnergyCons!$B$4:$B$10000="var_ncap")*1, (ISNUMBER(SEARCH("SCOM-SHWODBR",[1]OUT_FinalEnergyCons!$A$4:$A$10000)))*1,[1]OUT_FinalEnergyCons!E$4:E$10000)</f>
        <v>4.55204000918807E-2</v>
      </c>
      <c r="H2301" s="1" cm="1">
        <f t="array" ref="H2301">SUMPRODUCT(([1]OUT_FinalEnergyCons!$B$4:$B$10000="var_ncap")*1, (ISNUMBER(SEARCH("SCOM-SHWODBR",[1]OUT_FinalEnergyCons!$A$4:$A$10000)))*1,[1]OUT_FinalEnergyCons!F$4:F$10000)</f>
        <v>1.5148775297700601E-6</v>
      </c>
      <c r="I2301" s="1" cm="1">
        <f t="array" ref="I2301">SUMPRODUCT(([1]OUT_FinalEnergyCons!$B$4:$B$10000="var_ncap")*1, (ISNUMBER(SEARCH("SCOM-SHWODBR",[1]OUT_FinalEnergyCons!$A$4:$A$10000)))*1,[1]OUT_FinalEnergyCons!G$4:G$10000)</f>
        <v>2.3552408193978699E-6</v>
      </c>
      <c r="J2301" s="1" cm="1">
        <f t="array" ref="J2301">SUMPRODUCT(([1]OUT_FinalEnergyCons!$B$4:$B$10000="var_ncap")*1, (ISNUMBER(SEARCH("SCOM-SHWODBR",[1]OUT_FinalEnergyCons!$A$4:$A$10000)))*1,[1]OUT_FinalEnergyCons!H$4:H$10000)</f>
        <v>0.113591116071452</v>
      </c>
      <c r="K2301" s="1" cm="1">
        <f t="array" ref="K2301">SUMPRODUCT(([1]OUT_FinalEnergyCons!$B$4:$B$10000="var_ncap")*1, (ISNUMBER(SEARCH("SCOM-SHWODBR",[1]OUT_FinalEnergyCons!$A$4:$A$10000)))*1,[1]OUT_FinalEnergyCons!I$4:I$10000)</f>
        <v>0.174958616690743</v>
      </c>
    </row>
    <row r="2302" spans="2:11" x14ac:dyDescent="0.35">
      <c r="B2302" s="5" t="str">
        <f t="shared" ref="B2302:B2335" si="1355">B2301</f>
        <v>SPS4</v>
      </c>
      <c r="C2302" s="5" t="str">
        <f t="shared" si="1346"/>
        <v>CH</v>
      </c>
      <c r="D2302" t="s">
        <v>2446</v>
      </c>
      <c r="E2302" t="str">
        <f t="shared" si="1352"/>
        <v>GWth/yr.</v>
      </c>
      <c r="F2302" s="1">
        <f t="shared" ref="F2302:K2302" si="1356">F2303</f>
        <v>9.3910667435390995E-7</v>
      </c>
      <c r="G2302" s="1">
        <f t="shared" si="1356"/>
        <v>2.4360834779882899E-2</v>
      </c>
      <c r="H2302" s="1">
        <f t="shared" si="1356"/>
        <v>2.1114840060988699E-7</v>
      </c>
      <c r="I2302" s="1">
        <f t="shared" si="1356"/>
        <v>2.1174399783962799E-6</v>
      </c>
      <c r="J2302" s="1">
        <f t="shared" si="1356"/>
        <v>3.88376922853668E-2</v>
      </c>
      <c r="K2302" s="1">
        <f t="shared" si="1356"/>
        <v>6.0403028686041998E-2</v>
      </c>
    </row>
    <row r="2303" spans="2:11" x14ac:dyDescent="0.35">
      <c r="B2303" s="5" t="str">
        <f t="shared" si="1355"/>
        <v>SPS4</v>
      </c>
      <c r="C2303" s="5" t="str">
        <f t="shared" si="1346"/>
        <v>CH</v>
      </c>
      <c r="D2303" t="s">
        <v>2447</v>
      </c>
      <c r="E2303" t="str">
        <f t="shared" si="1352"/>
        <v>GWth/yr.</v>
      </c>
      <c r="F2303" s="1" cm="1">
        <f t="array" ref="F2303">SUMPRODUCT(([1]OUT_FinalEnergyCons!$B$4:$B$10000="var_ncap")*1,(ISNUMBER(SEARCH("SCOM-SHPLTBR",[1]OUT_FinalEnergyCons!$A$4:$A$10000)))*1,[1]OUT_FinalEnergyCons!D$4:D$10000)</f>
        <v>9.3910667435390995E-7</v>
      </c>
      <c r="G2303" s="1" cm="1">
        <f t="array" ref="G2303">SUMPRODUCT(([1]OUT_FinalEnergyCons!$B$4:$B$10000="var_ncap")*1,(ISNUMBER(SEARCH("SCOM-SHPLTBR",[1]OUT_FinalEnergyCons!$A$4:$A$10000)))*1,[1]OUT_FinalEnergyCons!E$4:E$10000)</f>
        <v>2.4360834779882899E-2</v>
      </c>
      <c r="H2303" s="1" cm="1">
        <f t="array" ref="H2303">SUMPRODUCT(([1]OUT_FinalEnergyCons!$B$4:$B$10000="var_ncap")*1,(ISNUMBER(SEARCH("SCOM-SHPLTBR",[1]OUT_FinalEnergyCons!$A$4:$A$10000)))*1,[1]OUT_FinalEnergyCons!F$4:F$10000)</f>
        <v>2.1114840060988699E-7</v>
      </c>
      <c r="I2303" s="1" cm="1">
        <f t="array" ref="I2303">SUMPRODUCT(([1]OUT_FinalEnergyCons!$B$4:$B$10000="var_ncap")*1,(ISNUMBER(SEARCH("SCOM-SHPLTBR",[1]OUT_FinalEnergyCons!$A$4:$A$10000)))*1,[1]OUT_FinalEnergyCons!G$4:G$10000)</f>
        <v>2.1174399783962799E-6</v>
      </c>
      <c r="J2303" s="1" cm="1">
        <f t="array" ref="J2303">SUMPRODUCT(([1]OUT_FinalEnergyCons!$B$4:$B$10000="var_ncap")*1,(ISNUMBER(SEARCH("SCOM-SHPLTBR",[1]OUT_FinalEnergyCons!$A$4:$A$10000)))*1,[1]OUT_FinalEnergyCons!H$4:H$10000)</f>
        <v>3.88376922853668E-2</v>
      </c>
      <c r="K2303" s="1" cm="1">
        <f t="array" ref="K2303">SUMPRODUCT(([1]OUT_FinalEnergyCons!$B$4:$B$10000="var_ncap")*1,(ISNUMBER(SEARCH("SCOM-SHPLTBR",[1]OUT_FinalEnergyCons!$A$4:$A$10000)))*1,[1]OUT_FinalEnergyCons!I$4:I$10000)</f>
        <v>6.0403028686041998E-2</v>
      </c>
    </row>
    <row r="2304" spans="2:11" x14ac:dyDescent="0.35">
      <c r="B2304" s="5" t="str">
        <f t="shared" si="1355"/>
        <v>SPS4</v>
      </c>
      <c r="C2304" s="5" t="str">
        <f t="shared" si="1346"/>
        <v>CH</v>
      </c>
      <c r="D2304" t="s">
        <v>2448</v>
      </c>
      <c r="E2304" t="str">
        <f t="shared" si="1352"/>
        <v>GWth/yr.</v>
      </c>
      <c r="F2304" s="1">
        <f t="shared" ref="F2304:K2304" si="1357">F2305</f>
        <v>1.48488419518933E-5</v>
      </c>
      <c r="G2304" s="1">
        <f t="shared" si="1357"/>
        <v>8.7601829212144502E-3</v>
      </c>
      <c r="H2304" s="1">
        <f t="shared" si="1357"/>
        <v>4.1831074647327701E-7</v>
      </c>
      <c r="I2304" s="1">
        <f t="shared" si="1357"/>
        <v>8.7967963315821299E-7</v>
      </c>
      <c r="J2304" s="1">
        <f t="shared" si="1357"/>
        <v>3.6229697282350599E-2</v>
      </c>
      <c r="K2304" s="1">
        <f t="shared" si="1357"/>
        <v>7.31602709030445E-2</v>
      </c>
    </row>
    <row r="2305" spans="2:11" x14ac:dyDescent="0.35">
      <c r="B2305" s="5" t="str">
        <f t="shared" si="1355"/>
        <v>SPS4</v>
      </c>
      <c r="C2305" s="5" t="str">
        <f t="shared" si="1346"/>
        <v>CH</v>
      </c>
      <c r="D2305" t="s">
        <v>2449</v>
      </c>
      <c r="E2305" t="str">
        <f t="shared" si="1352"/>
        <v>GWth/yr.</v>
      </c>
      <c r="F2305" s="1" cm="1">
        <f t="array" ref="F2305">SUMPRODUCT(([1]OUT_FinalEnergyCons!$B$4:$B$10000="var_ncap")*1, (ISNUMBER(SEARCH("SCOM-SHSOLBR",[1]OUT_FinalEnergyCons!$A$4:$A$10000)))*1,[1]OUT_FinalEnergyCons!D$4:D$10000)</f>
        <v>1.48488419518933E-5</v>
      </c>
      <c r="G2305" s="1" cm="1">
        <f t="array" ref="G2305">SUMPRODUCT(([1]OUT_FinalEnergyCons!$B$4:$B$10000="var_ncap")*1, (ISNUMBER(SEARCH("SCOM-SHSOLBR",[1]OUT_FinalEnergyCons!$A$4:$A$10000)))*1,[1]OUT_FinalEnergyCons!E$4:E$10000)</f>
        <v>8.7601829212144502E-3</v>
      </c>
      <c r="H2305" s="1" cm="1">
        <f t="array" ref="H2305">SUMPRODUCT(([1]OUT_FinalEnergyCons!$B$4:$B$10000="var_ncap")*1, (ISNUMBER(SEARCH("SCOM-SHSOLBR",[1]OUT_FinalEnergyCons!$A$4:$A$10000)))*1,[1]OUT_FinalEnergyCons!F$4:F$10000)</f>
        <v>4.1831074647327701E-7</v>
      </c>
      <c r="I2305" s="1" cm="1">
        <f t="array" ref="I2305">SUMPRODUCT(([1]OUT_FinalEnergyCons!$B$4:$B$10000="var_ncap")*1, (ISNUMBER(SEARCH("SCOM-SHSOLBR",[1]OUT_FinalEnergyCons!$A$4:$A$10000)))*1,[1]OUT_FinalEnergyCons!G$4:G$10000)</f>
        <v>8.7967963315821299E-7</v>
      </c>
      <c r="J2305" s="1" cm="1">
        <f t="array" ref="J2305">SUMPRODUCT(([1]OUT_FinalEnergyCons!$B$4:$B$10000="var_ncap")*1, (ISNUMBER(SEARCH("SCOM-SHSOLBR",[1]OUT_FinalEnergyCons!$A$4:$A$10000)))*1,[1]OUT_FinalEnergyCons!H$4:H$10000)</f>
        <v>3.6229697282350599E-2</v>
      </c>
      <c r="K2305" s="1" cm="1">
        <f t="array" ref="K2305">SUMPRODUCT(([1]OUT_FinalEnergyCons!$B$4:$B$10000="var_ncap")*1, (ISNUMBER(SEARCH("SCOM-SHSOLBR",[1]OUT_FinalEnergyCons!$A$4:$A$10000)))*1,[1]OUT_FinalEnergyCons!I$4:I$10000)</f>
        <v>7.31602709030445E-2</v>
      </c>
    </row>
    <row r="2306" spans="2:11" x14ac:dyDescent="0.35">
      <c r="B2306" s="5" t="str">
        <f t="shared" si="1355"/>
        <v>SPS4</v>
      </c>
      <c r="C2306" s="5" t="str">
        <f t="shared" si="1346"/>
        <v>CH</v>
      </c>
      <c r="D2306" t="s">
        <v>2450</v>
      </c>
      <c r="E2306" t="str">
        <f t="shared" si="1352"/>
        <v>GWth/yr.</v>
      </c>
      <c r="F2306" s="1">
        <f t="shared" ref="F2306:K2306" si="1358">F2307</f>
        <v>0</v>
      </c>
      <c r="G2306" s="1">
        <f t="shared" si="1358"/>
        <v>0</v>
      </c>
      <c r="H2306" s="1">
        <f t="shared" si="1358"/>
        <v>0</v>
      </c>
      <c r="I2306" s="1">
        <f t="shared" si="1358"/>
        <v>6.6699803174827799E-7</v>
      </c>
      <c r="J2306" s="1">
        <f t="shared" si="1358"/>
        <v>7.1329869697348294E-2</v>
      </c>
      <c r="K2306" s="1">
        <f t="shared" si="1358"/>
        <v>0.40198627228303702</v>
      </c>
    </row>
    <row r="2307" spans="2:11" x14ac:dyDescent="0.35">
      <c r="B2307" s="5" t="str">
        <f t="shared" si="1355"/>
        <v>SPS4</v>
      </c>
      <c r="C2307" s="5" t="str">
        <f t="shared" si="1346"/>
        <v>CH</v>
      </c>
      <c r="D2307" t="s">
        <v>2451</v>
      </c>
      <c r="E2307" t="str">
        <f t="shared" si="1352"/>
        <v>GWth/yr.</v>
      </c>
      <c r="F2307" s="1" cm="1">
        <f t="array" ref="F2307">SUMPRODUCT(([1]OUT_FinalEnergyCons!$B$4:$B$10000="var_ncap")*1, (ISNUMBER(SEARCH("SCOM-SHH2BR",[1]OUT_FinalEnergyCons!$A$4:$A$10000)))*1,[1]OUT_FinalEnergyCons!D$4:D$10000)</f>
        <v>0</v>
      </c>
      <c r="G2307" s="1" cm="1">
        <f t="array" ref="G2307">SUMPRODUCT(([1]OUT_FinalEnergyCons!$B$4:$B$10000="var_ncap")*1, (ISNUMBER(SEARCH("SCOM-SHH2BR",[1]OUT_FinalEnergyCons!$A$4:$A$10000)))*1,[1]OUT_FinalEnergyCons!E$4:E$10000)</f>
        <v>0</v>
      </c>
      <c r="H2307" s="1" cm="1">
        <f t="array" ref="H2307">SUMPRODUCT(([1]OUT_FinalEnergyCons!$B$4:$B$10000="var_ncap")*1, (ISNUMBER(SEARCH("SCOM-SHH2BR",[1]OUT_FinalEnergyCons!$A$4:$A$10000)))*1,[1]OUT_FinalEnergyCons!F$4:F$10000)</f>
        <v>0</v>
      </c>
      <c r="I2307" s="1" cm="1">
        <f t="array" ref="I2307">SUMPRODUCT(([1]OUT_FinalEnergyCons!$B$4:$B$10000="var_ncap")*1, (ISNUMBER(SEARCH("SCOM-SHH2BR",[1]OUT_FinalEnergyCons!$A$4:$A$10000)))*1,[1]OUT_FinalEnergyCons!G$4:G$10000)</f>
        <v>6.6699803174827799E-7</v>
      </c>
      <c r="J2307" s="1" cm="1">
        <f t="array" ref="J2307">SUMPRODUCT(([1]OUT_FinalEnergyCons!$B$4:$B$10000="var_ncap")*1, (ISNUMBER(SEARCH("SCOM-SHH2BR",[1]OUT_FinalEnergyCons!$A$4:$A$10000)))*1,[1]OUT_FinalEnergyCons!H$4:H$10000)</f>
        <v>7.1329869697348294E-2</v>
      </c>
      <c r="K2307" s="1" cm="1">
        <f t="array" ref="K2307">SUMPRODUCT(([1]OUT_FinalEnergyCons!$B$4:$B$10000="var_ncap")*1, (ISNUMBER(SEARCH("SCOM-SHH2BR",[1]OUT_FinalEnergyCons!$A$4:$A$10000)))*1,[1]OUT_FinalEnergyCons!I$4:I$10000)</f>
        <v>0.40198627228303702</v>
      </c>
    </row>
    <row r="2308" spans="2:11" x14ac:dyDescent="0.35">
      <c r="B2308" s="5" t="str">
        <f t="shared" si="1355"/>
        <v>SPS4</v>
      </c>
      <c r="C2308" s="5" t="str">
        <f t="shared" si="1346"/>
        <v>CH</v>
      </c>
      <c r="D2308" s="2" t="s">
        <v>2196</v>
      </c>
      <c r="E2308" s="2" t="s">
        <v>2155</v>
      </c>
      <c r="F2308" s="3">
        <f t="shared" ref="F2308:K2308" si="1359">SUM(F2309,F2313,F2316)</f>
        <v>2.6845973479292098E-4</v>
      </c>
      <c r="G2308" s="3">
        <f t="shared" si="1359"/>
        <v>6.9728571601112898E-5</v>
      </c>
      <c r="H2308" s="3">
        <f t="shared" si="1359"/>
        <v>1.30732020203463E-4</v>
      </c>
      <c r="I2308" s="3">
        <f t="shared" si="1359"/>
        <v>7.4154710628365793E-4</v>
      </c>
      <c r="J2308" s="3">
        <f t="shared" si="1359"/>
        <v>1.6393537263834222E-2</v>
      </c>
      <c r="K2308" s="3">
        <f t="shared" si="1359"/>
        <v>3.6862771747559263E-3</v>
      </c>
    </row>
    <row r="2309" spans="2:11" x14ac:dyDescent="0.35">
      <c r="B2309" s="5" t="str">
        <f t="shared" si="1355"/>
        <v>SPS4</v>
      </c>
      <c r="C2309" s="5" t="str">
        <f t="shared" si="1346"/>
        <v>CH</v>
      </c>
      <c r="D2309" t="s">
        <v>2452</v>
      </c>
      <c r="E2309" t="s">
        <v>2155</v>
      </c>
      <c r="F2309" s="1" cm="1">
        <f t="array" ref="F2309">SUMPRODUCT(ISNUMBER(SEARCH("SUP_ELCH2*",[1]OUT_SyntheticFuels!$C$4:$C$1000))*1,("var_ncap"=[1]OUT_SyntheticFuels!$B$4:$B$1000)*1,[1]OUT_SyntheticFuels!E$4:E$1000)</f>
        <v>2.6845973479292098E-4</v>
      </c>
      <c r="G2309" s="1" cm="1">
        <f t="array" ref="G2309">SUMPRODUCT(ISNUMBER(SEARCH("SUP_ELCH2*",[1]OUT_SyntheticFuels!$C$4:$C$1000))*1,("var_ncap"=[1]OUT_SyntheticFuels!$B$4:$B$1000)*1,[1]OUT_SyntheticFuels!F$4:F$1000)</f>
        <v>6.9728571601112898E-5</v>
      </c>
      <c r="H2309" s="1" cm="1">
        <f t="array" ref="H2309">SUMPRODUCT(ISNUMBER(SEARCH("SUP_ELCH2*",[1]OUT_SyntheticFuels!$C$4:$C$1000))*1,("var_ncap"=[1]OUT_SyntheticFuels!$B$4:$B$1000)*1,[1]OUT_SyntheticFuels!G$4:G$1000)</f>
        <v>1.30732020203463E-4</v>
      </c>
      <c r="I2309" s="1" cm="1">
        <f t="array" ref="I2309">SUMPRODUCT(ISNUMBER(SEARCH("SUP_ELCH2*",[1]OUT_SyntheticFuels!$C$4:$C$1000))*1,("var_ncap"=[1]OUT_SyntheticFuels!$B$4:$B$1000)*1,[1]OUT_SyntheticFuels!H$4:H$1000)</f>
        <v>7.4118491466039688E-4</v>
      </c>
      <c r="J2309" s="1" cm="1">
        <f t="array" ref="J2309">SUMPRODUCT(ISNUMBER(SEARCH("SUP_ELCH2*",[1]OUT_SyntheticFuels!$C$4:$C$1000))*1,("var_ncap"=[1]OUT_SyntheticFuels!$B$4:$B$1000)*1,[1]OUT_SyntheticFuels!I$4:I$1000)</f>
        <v>1.6392520090213802E-2</v>
      </c>
      <c r="K2309" s="1" cm="1">
        <f t="array" ref="K2309">SUMPRODUCT(ISNUMBER(SEARCH("SUP_ELCH2*",[1]OUT_SyntheticFuels!$C$4:$C$1000))*1,("var_ncap"=[1]OUT_SyntheticFuels!$B$4:$B$1000)*1,[1]OUT_SyntheticFuels!J$4:J$1000)</f>
        <v>3.5770375201244612E-3</v>
      </c>
    </row>
    <row r="2310" spans="2:11" x14ac:dyDescent="0.35">
      <c r="B2310" s="5" t="str">
        <f t="shared" si="1355"/>
        <v>SPS4</v>
      </c>
      <c r="C2310" s="5" t="str">
        <f t="shared" si="1346"/>
        <v>CH</v>
      </c>
      <c r="D2310" t="s">
        <v>2453</v>
      </c>
      <c r="E2310" t="s">
        <v>2155</v>
      </c>
      <c r="F2310" s="1">
        <f t="shared" ref="F2310:K2310" si="1360">F2309-F2311-F2312</f>
        <v>2.6845973479292098E-4</v>
      </c>
      <c r="G2310" s="1">
        <f t="shared" si="1360"/>
        <v>6.9728571601112898E-5</v>
      </c>
      <c r="H2310" s="1">
        <f t="shared" si="1360"/>
        <v>1.30732020203463E-4</v>
      </c>
      <c r="I2310" s="1">
        <f t="shared" si="1360"/>
        <v>7.3542625169986003E-4</v>
      </c>
      <c r="J2310" s="1">
        <f t="shared" si="1360"/>
        <v>1.6028591582040095E-2</v>
      </c>
      <c r="K2310" s="1">
        <f t="shared" si="1360"/>
        <v>3.4017787406694301E-3</v>
      </c>
    </row>
    <row r="2311" spans="2:11" x14ac:dyDescent="0.35">
      <c r="B2311" s="5" t="str">
        <f t="shared" si="1355"/>
        <v>SPS4</v>
      </c>
      <c r="C2311" s="5" t="str">
        <f t="shared" si="1346"/>
        <v>CH</v>
      </c>
      <c r="D2311" t="s">
        <v>2454</v>
      </c>
      <c r="E2311" t="s">
        <v>2155</v>
      </c>
      <c r="F2311" s="1" cm="1">
        <f t="array" ref="F2311">SUMPRODUCT(ISNUMBER(SEARCH("SUP_ELCH2*D",[1]OUT_SyntheticFuels!$C$4:$C$1000))*1,("var_ncap"=[1]OUT_SyntheticFuels!$B$4:$B$1000)*1,[1]OUT_SyntheticFuels!E$4:E$1000)</f>
        <v>0</v>
      </c>
      <c r="G2311" s="1" cm="1">
        <f t="array" ref="G2311">SUMPRODUCT(ISNUMBER(SEARCH("SUP_ELCH2*D",[1]OUT_SyntheticFuels!$C$4:$C$1000))*1,("var_ncap"=[1]OUT_SyntheticFuels!$B$4:$B$1000)*1,[1]OUT_SyntheticFuels!F$4:F$1000)</f>
        <v>0</v>
      </c>
      <c r="H2311" s="1" cm="1">
        <f t="array" ref="H2311">SUMPRODUCT(ISNUMBER(SEARCH("SUP_ELCH2*D",[1]OUT_SyntheticFuels!$C$4:$C$1000))*1,("var_ncap"=[1]OUT_SyntheticFuels!$B$4:$B$1000)*1,[1]OUT_SyntheticFuels!G$4:G$1000)</f>
        <v>0</v>
      </c>
      <c r="I2311" s="1" cm="1">
        <f t="array" ref="I2311">SUMPRODUCT(ISNUMBER(SEARCH("SUP_ELCH2*D",[1]OUT_SyntheticFuels!$C$4:$C$1000))*1,("var_ncap"=[1]OUT_SyntheticFuels!$B$4:$B$1000)*1,[1]OUT_SyntheticFuels!H$4:H$1000)</f>
        <v>5.7586629605368401E-6</v>
      </c>
      <c r="J2311" s="1" cm="1">
        <f t="array" ref="J2311">SUMPRODUCT(ISNUMBER(SEARCH("SUP_ELCH2*D",[1]OUT_SyntheticFuels!$C$4:$C$1000))*1,("var_ncap"=[1]OUT_SyntheticFuels!$B$4:$B$1000)*1,[1]OUT_SyntheticFuels!I$4:I$1000)</f>
        <v>1.4247160977683401E-4</v>
      </c>
      <c r="K2311" s="1" cm="1">
        <f t="array" ref="K2311">SUMPRODUCT(ISNUMBER(SEARCH("SUP_ELCH2*D",[1]OUT_SyntheticFuels!$C$4:$C$1000))*1,("var_ncap"=[1]OUT_SyntheticFuels!$B$4:$B$1000)*1,[1]OUT_SyntheticFuels!J$4:J$1000)</f>
        <v>4.57391640454942E-5</v>
      </c>
    </row>
    <row r="2312" spans="2:11" x14ac:dyDescent="0.35">
      <c r="B2312" s="5" t="str">
        <f t="shared" si="1355"/>
        <v>SPS4</v>
      </c>
      <c r="C2312" s="5" t="str">
        <f t="shared" si="1346"/>
        <v>CH</v>
      </c>
      <c r="D2312" t="s">
        <v>2455</v>
      </c>
      <c r="E2312" t="s">
        <v>2155</v>
      </c>
      <c r="F2312" s="1" cm="1">
        <f t="array" ref="F2312">SUMPRODUCT(ISNUMBER(SEARCH("SUP_ELCH2*SOEC*",[1]OUT_SyntheticFuels!$C$4:$C$1000))*1,("var_ncap"=[1]OUT_SyntheticFuels!$B$4:$B$1000)*1,[1]OUT_SyntheticFuels!E$4:E$1000)</f>
        <v>0</v>
      </c>
      <c r="G2312" s="1" cm="1">
        <f t="array" ref="G2312">SUMPRODUCT(ISNUMBER(SEARCH("SUP_ELCH2*SOEC*",[1]OUT_SyntheticFuels!$C$4:$C$1000))*1,("var_ncap"=[1]OUT_SyntheticFuels!$B$4:$B$1000)*1,[1]OUT_SyntheticFuels!F$4:F$1000)</f>
        <v>0</v>
      </c>
      <c r="H2312" s="1" cm="1">
        <f t="array" ref="H2312">SUMPRODUCT(ISNUMBER(SEARCH("SUP_ELCH2*SOEC*",[1]OUT_SyntheticFuels!$C$4:$C$1000))*1,("var_ncap"=[1]OUT_SyntheticFuels!$B$4:$B$1000)*1,[1]OUT_SyntheticFuels!G$4:G$1000)</f>
        <v>0</v>
      </c>
      <c r="I2312" s="1" cm="1">
        <f t="array" ref="I2312">SUMPRODUCT(ISNUMBER(SEARCH("SUP_ELCH2*SOEC*",[1]OUT_SyntheticFuels!$C$4:$C$1000))*1,("var_ncap"=[1]OUT_SyntheticFuels!$B$4:$B$1000)*1,[1]OUT_SyntheticFuels!H$4:H$1000)</f>
        <v>0</v>
      </c>
      <c r="J2312" s="1" cm="1">
        <f t="array" ref="J2312">SUMPRODUCT(ISNUMBER(SEARCH("SUP_ELCH2*SOEC*",[1]OUT_SyntheticFuels!$C$4:$C$1000))*1,("var_ncap"=[1]OUT_SyntheticFuels!$B$4:$B$1000)*1,[1]OUT_SyntheticFuels!I$4:I$1000)</f>
        <v>2.21456898396871E-4</v>
      </c>
      <c r="K2312" s="1" cm="1">
        <f t="array" ref="K2312">SUMPRODUCT(ISNUMBER(SEARCH("SUP_ELCH2*SOEC*",[1]OUT_SyntheticFuels!$C$4:$C$1000))*1,("var_ncap"=[1]OUT_SyntheticFuels!$B$4:$B$1000)*1,[1]OUT_SyntheticFuels!J$4:J$1000)</f>
        <v>1.29519615409537E-4</v>
      </c>
    </row>
    <row r="2313" spans="2:11" x14ac:dyDescent="0.35">
      <c r="B2313" s="5" t="str">
        <f t="shared" si="1355"/>
        <v>SPS4</v>
      </c>
      <c r="C2313" s="5" t="str">
        <f t="shared" si="1346"/>
        <v>CH</v>
      </c>
      <c r="D2313" t="s">
        <v>2456</v>
      </c>
      <c r="E2313" t="s">
        <v>2155</v>
      </c>
      <c r="F2313" s="1">
        <f t="shared" ref="F2313:K2313" si="1361">SUM(F2314:F2315)</f>
        <v>0</v>
      </c>
      <c r="G2313" s="1">
        <f t="shared" si="1361"/>
        <v>0</v>
      </c>
      <c r="H2313" s="1">
        <f t="shared" si="1361"/>
        <v>0</v>
      </c>
      <c r="I2313" s="1">
        <f t="shared" si="1361"/>
        <v>3.6219162326104798E-7</v>
      </c>
      <c r="J2313" s="1">
        <f t="shared" si="1361"/>
        <v>1.01717362041857E-6</v>
      </c>
      <c r="K2313" s="1">
        <f t="shared" si="1361"/>
        <v>8.1851626451671095E-5</v>
      </c>
    </row>
    <row r="2314" spans="2:11" x14ac:dyDescent="0.35">
      <c r="B2314" s="5" t="str">
        <f t="shared" si="1355"/>
        <v>SPS4</v>
      </c>
      <c r="C2314" s="5" t="str">
        <f t="shared" si="1346"/>
        <v>CH</v>
      </c>
      <c r="D2314" t="s">
        <v>2457</v>
      </c>
      <c r="E2314" t="s">
        <v>2155</v>
      </c>
      <c r="F2314" s="1" cm="1">
        <f t="array" ref="F2314">SUMPRODUCT(ISNUMBER(SEARCH("SUP_NGAH2",[1]OUT_SyntheticFuels!$C$4:$C$1000))*1,("var_ncap"=[1]OUT_SyntheticFuels!$B$4:$B$1000)*1,[1]OUT_SyntheticFuels!E$4:E$1000)-F2315</f>
        <v>0</v>
      </c>
      <c r="G2314" s="1" cm="1">
        <f t="array" ref="G2314">SUMPRODUCT(ISNUMBER(SEARCH("SUP_NGAH2",[1]OUT_SyntheticFuels!$C$4:$C$1000))*1,("var_ncap"=[1]OUT_SyntheticFuels!$B$4:$B$1000)*1,[1]OUT_SyntheticFuels!F$4:F$1000)-G2315</f>
        <v>0</v>
      </c>
      <c r="H2314" s="1" cm="1">
        <f t="array" ref="H2314">SUMPRODUCT(ISNUMBER(SEARCH("SUP_NGAH2",[1]OUT_SyntheticFuels!$C$4:$C$1000))*1,("var_ncap"=[1]OUT_SyntheticFuels!$B$4:$B$1000)*1,[1]OUT_SyntheticFuels!G$4:G$1000)-H2315</f>
        <v>0</v>
      </c>
      <c r="I2314" s="1" cm="1">
        <f t="array" ref="I2314">SUMPRODUCT(ISNUMBER(SEARCH("SUP_NGAH2",[1]OUT_SyntheticFuels!$C$4:$C$1000))*1,("var_ncap"=[1]OUT_SyntheticFuels!$B$4:$B$1000)*1,[1]OUT_SyntheticFuels!H$4:H$1000)-I2315</f>
        <v>3.6219162326104798E-7</v>
      </c>
      <c r="J2314" s="1" cm="1">
        <f t="array" ref="J2314">SUMPRODUCT(ISNUMBER(SEARCH("SUP_NGAH2",[1]OUT_SyntheticFuels!$C$4:$C$1000))*1,("var_ncap"=[1]OUT_SyntheticFuels!$B$4:$B$1000)*1,[1]OUT_SyntheticFuels!I$4:I$1000)-J2315</f>
        <v>1.01717362041857E-6</v>
      </c>
      <c r="K2314" s="1" cm="1">
        <f t="array" ref="K2314">SUMPRODUCT(ISNUMBER(SEARCH("SUP_NGAH2",[1]OUT_SyntheticFuels!$C$4:$C$1000))*1,("var_ncap"=[1]OUT_SyntheticFuels!$B$4:$B$1000)*1,[1]OUT_SyntheticFuels!J$4:J$1000)-K2315</f>
        <v>8.1851626451671095E-5</v>
      </c>
    </row>
    <row r="2315" spans="2:11" x14ac:dyDescent="0.35">
      <c r="B2315" s="5" t="str">
        <f t="shared" si="1355"/>
        <v>SPS4</v>
      </c>
      <c r="C2315" s="5" t="str">
        <f t="shared" si="1346"/>
        <v>CH</v>
      </c>
      <c r="D2315" t="s">
        <v>2458</v>
      </c>
      <c r="E2315" t="s">
        <v>2155</v>
      </c>
      <c r="F2315" s="1" cm="1">
        <f t="array" ref="F2315">SUMPRODUCT(ISNUMBER(SEARCH("SUP_NGAH2CCS",[1]OUT_SyntheticFuels!$C$4:$C$1000))*1,("var_ncap"=[1]OUT_SyntheticFuels!$B$4:$B$1000)*1,[1]OUT_SyntheticFuels!E$4:E$1000)</f>
        <v>0</v>
      </c>
      <c r="G2315" s="1" cm="1">
        <f t="array" ref="G2315">SUMPRODUCT(ISNUMBER(SEARCH("SUP_NGAH2CCS",[1]OUT_SyntheticFuels!$C$4:$C$1000))*1,("var_ncap"=[1]OUT_SyntheticFuels!$B$4:$B$1000)*1,[1]OUT_SyntheticFuels!F$4:F$1000)</f>
        <v>0</v>
      </c>
      <c r="H2315" s="1" cm="1">
        <f t="array" ref="H2315">SUMPRODUCT(ISNUMBER(SEARCH("SUP_NGAH2CCS",[1]OUT_SyntheticFuels!$C$4:$C$1000))*1,("var_ncap"=[1]OUT_SyntheticFuels!$B$4:$B$1000)*1,[1]OUT_SyntheticFuels!G$4:G$1000)</f>
        <v>0</v>
      </c>
      <c r="I2315" s="1" cm="1">
        <f t="array" ref="I2315">SUMPRODUCT(ISNUMBER(SEARCH("SUP_NGAH2CCS",[1]OUT_SyntheticFuels!$C$4:$C$1000))*1,("var_ncap"=[1]OUT_SyntheticFuels!$B$4:$B$1000)*1,[1]OUT_SyntheticFuels!H$4:H$1000)</f>
        <v>0</v>
      </c>
      <c r="J2315" s="1" cm="1">
        <f t="array" ref="J2315">SUMPRODUCT(ISNUMBER(SEARCH("SUP_NGAH2CCS",[1]OUT_SyntheticFuels!$C$4:$C$1000))*1,("var_ncap"=[1]OUT_SyntheticFuels!$B$4:$B$1000)*1,[1]OUT_SyntheticFuels!I$4:I$1000)</f>
        <v>0</v>
      </c>
      <c r="K2315" s="1" cm="1">
        <f t="array" ref="K2315">SUMPRODUCT(ISNUMBER(SEARCH("SUP_NGAH2CCS",[1]OUT_SyntheticFuels!$C$4:$C$1000))*1,("var_ncap"=[1]OUT_SyntheticFuels!$B$4:$B$1000)*1,[1]OUT_SyntheticFuels!J$4:J$1000)</f>
        <v>0</v>
      </c>
    </row>
    <row r="2316" spans="2:11" x14ac:dyDescent="0.35">
      <c r="B2316" s="5" t="str">
        <f t="shared" si="1355"/>
        <v>SPS4</v>
      </c>
      <c r="C2316" s="5" t="str">
        <f t="shared" si="1346"/>
        <v>CH</v>
      </c>
      <c r="D2316" t="s">
        <v>2459</v>
      </c>
      <c r="E2316" t="s">
        <v>2155</v>
      </c>
      <c r="F2316" s="1">
        <f t="shared" ref="F2316:K2316" si="1362">SUM(F2317:F2318)</f>
        <v>0</v>
      </c>
      <c r="G2316" s="1">
        <f t="shared" si="1362"/>
        <v>0</v>
      </c>
      <c r="H2316" s="1">
        <f t="shared" si="1362"/>
        <v>0</v>
      </c>
      <c r="I2316" s="1">
        <f t="shared" si="1362"/>
        <v>0</v>
      </c>
      <c r="J2316" s="1">
        <f t="shared" si="1362"/>
        <v>0</v>
      </c>
      <c r="K2316" s="1">
        <f t="shared" si="1362"/>
        <v>2.7388028179794201E-5</v>
      </c>
    </row>
    <row r="2317" spans="2:11" x14ac:dyDescent="0.35">
      <c r="B2317" s="5" t="str">
        <f t="shared" si="1355"/>
        <v>SPS4</v>
      </c>
      <c r="C2317" s="5" t="str">
        <f t="shared" si="1346"/>
        <v>CH</v>
      </c>
      <c r="D2317" t="s">
        <v>2460</v>
      </c>
      <c r="E2317" t="s">
        <v>2155</v>
      </c>
      <c r="F2317" s="1" cm="1">
        <f t="array" ref="F2317">SUMPRODUCT(ISNUMBER(SEARCH("SUP_WODH2",[1]OUT_SyntheticFuels!$C$4:$C$1000))*1,("var_ncap"=[1]OUT_SyntheticFuels!$B$4:$B$1000)*1,[1]OUT_SyntheticFuels!E$4:E$1000)-F2318</f>
        <v>0</v>
      </c>
      <c r="G2317" s="1" cm="1">
        <f t="array" ref="G2317">SUMPRODUCT(ISNUMBER(SEARCH("SUP_WODH2",[1]OUT_SyntheticFuels!$C$4:$C$1000))*1,("var_ncap"=[1]OUT_SyntheticFuels!$B$4:$B$1000)*1,[1]OUT_SyntheticFuels!F$4:F$1000)-G2318</f>
        <v>0</v>
      </c>
      <c r="H2317" s="1" cm="1">
        <f t="array" ref="H2317">SUMPRODUCT(ISNUMBER(SEARCH("SUP_WODH2",[1]OUT_SyntheticFuels!$C$4:$C$1000))*1,("var_ncap"=[1]OUT_SyntheticFuels!$B$4:$B$1000)*1,[1]OUT_SyntheticFuels!G$4:G$1000)-H2318</f>
        <v>0</v>
      </c>
      <c r="I2317" s="1" cm="1">
        <f t="array" ref="I2317">SUMPRODUCT(ISNUMBER(SEARCH("SUP_WODH2",[1]OUT_SyntheticFuels!$C$4:$C$1000))*1,("var_ncap"=[1]OUT_SyntheticFuels!$B$4:$B$1000)*1,[1]OUT_SyntheticFuels!H$4:H$1000)-I2318</f>
        <v>0</v>
      </c>
      <c r="J2317" s="1" cm="1">
        <f t="array" ref="J2317">SUMPRODUCT(ISNUMBER(SEARCH("SUP_WODH2",[1]OUT_SyntheticFuels!$C$4:$C$1000))*1,("var_ncap"=[1]OUT_SyntheticFuels!$B$4:$B$1000)*1,[1]OUT_SyntheticFuels!I$4:I$1000)-J2318</f>
        <v>0</v>
      </c>
      <c r="K2317" s="1" cm="1">
        <f t="array" ref="K2317">SUMPRODUCT(ISNUMBER(SEARCH("SUP_WODH2",[1]OUT_SyntheticFuels!$C$4:$C$1000))*1,("var_ncap"=[1]OUT_SyntheticFuels!$B$4:$B$1000)*1,[1]OUT_SyntheticFuels!J$4:J$1000)-K2318</f>
        <v>2.7388028179794201E-5</v>
      </c>
    </row>
    <row r="2318" spans="2:11" x14ac:dyDescent="0.35">
      <c r="B2318" s="5" t="str">
        <f t="shared" si="1355"/>
        <v>SPS4</v>
      </c>
      <c r="C2318" s="5" t="str">
        <f t="shared" si="1346"/>
        <v>CH</v>
      </c>
      <c r="D2318" t="s">
        <v>2461</v>
      </c>
      <c r="E2318" t="s">
        <v>2155</v>
      </c>
      <c r="F2318" s="1" cm="1">
        <f t="array" ref="F2318">SUMPRODUCT(ISNUMBER(SEARCH("SUP_WODH2CCS",[1]OUT_SyntheticFuels!$C$4:$C$1000))*1,("var_ncap"=[1]OUT_SyntheticFuels!$B$4:$B$1000)*1,[1]OUT_SyntheticFuels!E$4:E$1000)</f>
        <v>0</v>
      </c>
      <c r="G2318" s="1" cm="1">
        <f t="array" ref="G2318">SUMPRODUCT(ISNUMBER(SEARCH("SUP_WODH2CCS",[1]OUT_SyntheticFuels!$C$4:$C$1000))*1,("var_ncap"=[1]OUT_SyntheticFuels!$B$4:$B$1000)*1,[1]OUT_SyntheticFuels!F$4:F$1000)</f>
        <v>0</v>
      </c>
      <c r="H2318" s="1" cm="1">
        <f t="array" ref="H2318">SUMPRODUCT(ISNUMBER(SEARCH("SUP_WODH2CCS",[1]OUT_SyntheticFuels!$C$4:$C$1000))*1,("var_ncap"=[1]OUT_SyntheticFuels!$B$4:$B$1000)*1,[1]OUT_SyntheticFuels!G$4:G$1000)</f>
        <v>0</v>
      </c>
      <c r="I2318" s="1" cm="1">
        <f t="array" ref="I2318">SUMPRODUCT(ISNUMBER(SEARCH("SUP_WODH2CCS",[1]OUT_SyntheticFuels!$C$4:$C$1000))*1,("var_ncap"=[1]OUT_SyntheticFuels!$B$4:$B$1000)*1,[1]OUT_SyntheticFuels!H$4:H$1000)</f>
        <v>0</v>
      </c>
      <c r="J2318" s="1" cm="1">
        <f t="array" ref="J2318">SUMPRODUCT(ISNUMBER(SEARCH("SUP_WODH2CCS",[1]OUT_SyntheticFuels!$C$4:$C$1000))*1,("var_ncap"=[1]OUT_SyntheticFuels!$B$4:$B$1000)*1,[1]OUT_SyntheticFuels!I$4:I$1000)</f>
        <v>0</v>
      </c>
      <c r="K2318" s="1" cm="1">
        <f t="array" ref="K2318">SUMPRODUCT(ISNUMBER(SEARCH("SUP_WODH2CCS",[1]OUT_SyntheticFuels!$C$4:$C$1000))*1,("var_ncap"=[1]OUT_SyntheticFuels!$B$4:$B$1000)*1,[1]OUT_SyntheticFuels!J$4:J$1000)</f>
        <v>0</v>
      </c>
    </row>
    <row r="2319" spans="2:11" x14ac:dyDescent="0.35">
      <c r="B2319" s="5" t="str">
        <f t="shared" si="1355"/>
        <v>SPS4</v>
      </c>
      <c r="C2319" s="5" t="str">
        <f t="shared" si="1346"/>
        <v>CH</v>
      </c>
      <c r="D2319" s="2" t="s">
        <v>2197</v>
      </c>
      <c r="E2319" s="2" t="s">
        <v>2157</v>
      </c>
      <c r="F2319" s="26"/>
      <c r="G2319" s="26"/>
      <c r="H2319" s="26"/>
      <c r="I2319" s="26"/>
      <c r="J2319" s="26"/>
      <c r="K2319" s="26"/>
    </row>
    <row r="2320" spans="2:11" x14ac:dyDescent="0.35">
      <c r="B2320" s="5" t="str">
        <f t="shared" si="1355"/>
        <v>SPS4</v>
      </c>
      <c r="C2320" s="5" t="str">
        <f t="shared" si="1346"/>
        <v>CH</v>
      </c>
      <c r="D2320" t="s">
        <v>2462</v>
      </c>
      <c r="E2320" t="s">
        <v>2157</v>
      </c>
      <c r="F2320" s="7" cm="1">
        <f t="array" ref="F2320">SUMPRODUCT(("CT_CWODBDS"=[1]OUT_SyntheticFuels!$C$4:$C$1000)*1,("var_ncap"=[1]OUT_SyntheticFuels!$B$4:$B$1000)*1,[1]OUT_SyntheticFuels!E$4:E$1000)</f>
        <v>2.36957239707213E-7</v>
      </c>
      <c r="G2320" s="7" cm="1">
        <f t="array" ref="G2320">SUMPRODUCT(("CT_CWODBDS"=[1]OUT_SyntheticFuels!$C$4:$C$1000)*1,("var_ncap"=[1]OUT_SyntheticFuels!$B$4:$B$1000)*1,[1]OUT_SyntheticFuels!F$4:F$1000)</f>
        <v>1.8245500523864599E-7</v>
      </c>
      <c r="H2320" s="7" cm="1">
        <f t="array" ref="H2320">SUMPRODUCT(("CT_CWODBDS"=[1]OUT_SyntheticFuels!$C$4:$C$1000)*1,("var_ncap"=[1]OUT_SyntheticFuels!$B$4:$B$1000)*1,[1]OUT_SyntheticFuels!G$4:G$1000)</f>
        <v>4.1527381434514502E-7</v>
      </c>
      <c r="I2320" s="7" cm="1">
        <f t="array" ref="I2320">SUMPRODUCT(("CT_CWODBDS"=[1]OUT_SyntheticFuels!$C$4:$C$1000)*1,("var_ncap"=[1]OUT_SyntheticFuels!$B$4:$B$1000)*1,[1]OUT_SyntheticFuels!H$4:H$1000)</f>
        <v>1.7457884129972599E-7</v>
      </c>
      <c r="J2320" s="7" cm="1">
        <f t="array" ref="J2320">SUMPRODUCT(("CT_CWODBDS"=[1]OUT_SyntheticFuels!$C$4:$C$1000)*1,("var_ncap"=[1]OUT_SyntheticFuels!$B$4:$B$1000)*1,[1]OUT_SyntheticFuels!I$4:I$1000)</f>
        <v>3.7561707074406001E-6</v>
      </c>
      <c r="K2320" s="7" cm="1">
        <f t="array" ref="K2320">SUMPRODUCT(("CT_CWODBDS"=[1]OUT_SyntheticFuels!$C$4:$C$1000)*1,("var_ncap"=[1]OUT_SyntheticFuels!$B$4:$B$1000)*1,[1]OUT_SyntheticFuels!J$4:J$1000)</f>
        <v>6.4514316828560804E-7</v>
      </c>
    </row>
    <row r="2321" spans="2:11" x14ac:dyDescent="0.35">
      <c r="B2321" s="5" t="str">
        <f t="shared" si="1355"/>
        <v>SPS4</v>
      </c>
      <c r="C2321" s="5" t="str">
        <f t="shared" si="1346"/>
        <v>CH</v>
      </c>
      <c r="D2321" t="s">
        <v>2463</v>
      </c>
      <c r="E2321" t="s">
        <v>2157</v>
      </c>
      <c r="F2321" s="7" cm="1">
        <f t="array" ref="F2321">SUMPRODUCT(("CT_CWODBDSCCS"=[1]OUT_SyntheticFuels!$C$4:$C$1000)*1,("var_ncap"=[1]OUT_SyntheticFuels!$B$4:$B$1000)*1,[1]OUT_SyntheticFuels!E$4:E$1000)</f>
        <v>0</v>
      </c>
      <c r="G2321" s="7" cm="1">
        <f t="array" ref="G2321">SUMPRODUCT(("CT_CWODBDSCCS"=[1]OUT_SyntheticFuels!$C$4:$C$1000)*1,("var_ncap"=[1]OUT_SyntheticFuels!$B$4:$B$1000)*1,[1]OUT_SyntheticFuels!F$4:F$1000)</f>
        <v>0</v>
      </c>
      <c r="H2321" s="7" cm="1">
        <f t="array" ref="H2321">SUMPRODUCT(("CT_CWODBDSCCS"=[1]OUT_SyntheticFuels!$C$4:$C$1000)*1,("var_ncap"=[1]OUT_SyntheticFuels!$B$4:$B$1000)*1,[1]OUT_SyntheticFuels!G$4:G$1000)</f>
        <v>0</v>
      </c>
      <c r="I2321" s="7" cm="1">
        <f t="array" ref="I2321">SUMPRODUCT(("CT_CWODBDSCCS"=[1]OUT_SyntheticFuels!$C$4:$C$1000)*1,("var_ncap"=[1]OUT_SyntheticFuels!$B$4:$B$1000)*1,[1]OUT_SyntheticFuels!H$4:H$1000)</f>
        <v>0</v>
      </c>
      <c r="J2321" s="7" cm="1">
        <f t="array" ref="J2321">SUMPRODUCT(("CT_CWODBDSCCS"=[1]OUT_SyntheticFuels!$C$4:$C$1000)*1,("var_ncap"=[1]OUT_SyntheticFuels!$B$4:$B$1000)*1,[1]OUT_SyntheticFuels!I$4:I$1000)</f>
        <v>0</v>
      </c>
      <c r="K2321" s="7" cm="1">
        <f t="array" ref="K2321">SUMPRODUCT(("CT_CWODBDSCCS"=[1]OUT_SyntheticFuels!$C$4:$C$1000)*1,("var_ncap"=[1]OUT_SyntheticFuels!$B$4:$B$1000)*1,[1]OUT_SyntheticFuels!J$4:J$1000)</f>
        <v>0</v>
      </c>
    </row>
    <row r="2322" spans="2:11" x14ac:dyDescent="0.35">
      <c r="B2322" s="5" t="str">
        <f t="shared" si="1355"/>
        <v>SPS4</v>
      </c>
      <c r="C2322" s="5" t="str">
        <f t="shared" si="1346"/>
        <v>CH</v>
      </c>
      <c r="D2322" t="s">
        <v>2464</v>
      </c>
      <c r="E2322" t="s">
        <v>2157</v>
      </c>
      <c r="F2322" s="7" cm="1">
        <f t="array" ref="F2322">SUMPRODUCT(("CT_CWODETH"=[1]OUT_SyntheticFuels!$C$4:$C$1000)*1,("var_ncap"=[1]OUT_SyntheticFuels!$B$4:$B$1000)*1,[1]OUT_SyntheticFuels!E$4:E$1000)</f>
        <v>5.1129807011162402E-3</v>
      </c>
      <c r="G2322" s="7" cm="1">
        <f t="array" ref="G2322">SUMPRODUCT(("CT_CWODETH"=[1]OUT_SyntheticFuels!$C$4:$C$1000)*1,("var_ncap"=[1]OUT_SyntheticFuels!$B$4:$B$1000)*1,[1]OUT_SyntheticFuels!F$4:F$1000)</f>
        <v>4.2947873288701201E-7</v>
      </c>
      <c r="H2322" s="7" cm="1">
        <f t="array" ref="H2322">SUMPRODUCT(("CT_CWODETH"=[1]OUT_SyntheticFuels!$C$4:$C$1000)*1,("var_ncap"=[1]OUT_SyntheticFuels!$B$4:$B$1000)*1,[1]OUT_SyntheticFuels!G$4:G$1000)</f>
        <v>5.6588332442044395E-4</v>
      </c>
      <c r="I2322" s="7" cm="1">
        <f t="array" ref="I2322">SUMPRODUCT(("CT_CWODETH"=[1]OUT_SyntheticFuels!$C$4:$C$1000)*1,("var_ncap"=[1]OUT_SyntheticFuels!$B$4:$B$1000)*1,[1]OUT_SyntheticFuels!H$4:H$1000)</f>
        <v>1.3877035965271001E-7</v>
      </c>
      <c r="J2322" s="7" cm="1">
        <f t="array" ref="J2322">SUMPRODUCT(("CT_CWODETH"=[1]OUT_SyntheticFuels!$C$4:$C$1000)*1,("var_ncap"=[1]OUT_SyntheticFuels!$B$4:$B$1000)*1,[1]OUT_SyntheticFuels!I$4:I$1000)</f>
        <v>1.04884520129853E-6</v>
      </c>
      <c r="K2322" s="7" cm="1">
        <f t="array" ref="K2322">SUMPRODUCT(("CT_CWODETH"=[1]OUT_SyntheticFuels!$C$4:$C$1000)*1,("var_ncap"=[1]OUT_SyntheticFuels!$B$4:$B$1000)*1,[1]OUT_SyntheticFuels!J$4:J$1000)</f>
        <v>1.03437787340563E-5</v>
      </c>
    </row>
    <row r="2323" spans="2:11" x14ac:dyDescent="0.35">
      <c r="B2323" s="5" t="str">
        <f t="shared" si="1355"/>
        <v>SPS4</v>
      </c>
      <c r="C2323" s="5" t="str">
        <f t="shared" si="1346"/>
        <v>CH</v>
      </c>
      <c r="D2323" t="s">
        <v>2465</v>
      </c>
      <c r="E2323" t="s">
        <v>2157</v>
      </c>
      <c r="F2323" s="7" cm="1">
        <f t="array" ref="F2323">SUMPRODUCT(("CT_CWODETHCCS"=[1]OUT_SyntheticFuels!$C$4:$C$1000)*1,("var_ncap"=[1]OUT_SyntheticFuels!$B$4:$B$1000)*1,[1]OUT_SyntheticFuels!E$4:E$1000)</f>
        <v>0</v>
      </c>
      <c r="G2323" s="7" cm="1">
        <f t="array" ref="G2323">SUMPRODUCT(("CT_CWODETHCCS"=[1]OUT_SyntheticFuels!$C$4:$C$1000)*1,("var_ncap"=[1]OUT_SyntheticFuels!$B$4:$B$1000)*1,[1]OUT_SyntheticFuels!F$4:F$1000)</f>
        <v>0</v>
      </c>
      <c r="H2323" s="7" cm="1">
        <f t="array" ref="H2323">SUMPRODUCT(("CT_CWODETHCCS"=[1]OUT_SyntheticFuels!$C$4:$C$1000)*1,("var_ncap"=[1]OUT_SyntheticFuels!$B$4:$B$1000)*1,[1]OUT_SyntheticFuels!G$4:G$1000)</f>
        <v>0</v>
      </c>
      <c r="I2323" s="7" cm="1">
        <f t="array" ref="I2323">SUMPRODUCT(("CT_CWODETHCCS"=[1]OUT_SyntheticFuels!$C$4:$C$1000)*1,("var_ncap"=[1]OUT_SyntheticFuels!$B$4:$B$1000)*1,[1]OUT_SyntheticFuels!H$4:H$1000)</f>
        <v>0</v>
      </c>
      <c r="J2323" s="7" cm="1">
        <f t="array" ref="J2323">SUMPRODUCT(("CT_CWODETHCCS"=[1]OUT_SyntheticFuels!$C$4:$C$1000)*1,("var_ncap"=[1]OUT_SyntheticFuels!$B$4:$B$1000)*1,[1]OUT_SyntheticFuels!I$4:I$1000)</f>
        <v>0</v>
      </c>
      <c r="K2323" s="7" cm="1">
        <f t="array" ref="K2323">SUMPRODUCT(("CT_CWODETHCCS"=[1]OUT_SyntheticFuels!$C$4:$C$1000)*1,("var_ncap"=[1]OUT_SyntheticFuels!$B$4:$B$1000)*1,[1]OUT_SyntheticFuels!J$4:J$1000)</f>
        <v>0</v>
      </c>
    </row>
    <row r="2324" spans="2:11" x14ac:dyDescent="0.35">
      <c r="B2324" s="5" t="str">
        <f t="shared" si="1355"/>
        <v>SPS4</v>
      </c>
      <c r="C2324" s="5" t="str">
        <f t="shared" si="1346"/>
        <v>CH</v>
      </c>
      <c r="D2324" t="s">
        <v>2466</v>
      </c>
      <c r="E2324" t="s">
        <v>2157</v>
      </c>
      <c r="F2324" s="7" cm="1">
        <f t="array" ref="F2324">SUMPRODUCT(("SUP_MNRBIO"=[1]OUT_SyntheticFuels!$C$4:$C$1000)*1,("var_ncap"=[1]OUT_SyntheticFuels!$B$4:$B$1000)*1,[1]OUT_SyntheticFuels!E$4:E$1000)</f>
        <v>4.9851847967244303E-2</v>
      </c>
      <c r="G2324" s="7" cm="1">
        <f t="array" ref="G2324">SUMPRODUCT(("SUP_MNRBIO"=[1]OUT_SyntheticFuels!$C$4:$C$1000)*1,("var_ncap"=[1]OUT_SyntheticFuels!$B$4:$B$1000)*1,[1]OUT_SyntheticFuels!F$4:F$1000)</f>
        <v>8.8820966422982997E-2</v>
      </c>
      <c r="H2324" s="7" cm="1">
        <f t="array" ref="H2324">SUMPRODUCT(("SUP_MNRBIO"=[1]OUT_SyntheticFuels!$C$4:$C$1000)*1,("var_ncap"=[1]OUT_SyntheticFuels!$B$4:$B$1000)*1,[1]OUT_SyntheticFuels!G$4:G$1000)</f>
        <v>2.3724120390686498E-2</v>
      </c>
      <c r="I2324" s="7" cm="1">
        <f t="array" ref="I2324">SUMPRODUCT(("SUP_MNRBIO"=[1]OUT_SyntheticFuels!$C$4:$C$1000)*1,("var_ncap"=[1]OUT_SyntheticFuels!$B$4:$B$1000)*1,[1]OUT_SyntheticFuels!H$4:H$1000)</f>
        <v>4.7478308039403299E-6</v>
      </c>
      <c r="J2324" s="7" cm="1">
        <f t="array" ref="J2324">SUMPRODUCT(("SUP_MNRBIO"=[1]OUT_SyntheticFuels!$C$4:$C$1000)*1,("var_ncap"=[1]OUT_SyntheticFuels!$B$4:$B$1000)*1,[1]OUT_SyntheticFuels!I$4:I$1000)</f>
        <v>0.102148400613011</v>
      </c>
      <c r="K2324" s="7" cm="1">
        <f t="array" ref="K2324">SUMPRODUCT(("SUP_MNRBIO"=[1]OUT_SyntheticFuels!$C$4:$C$1000)*1,("var_ncap"=[1]OUT_SyntheticFuels!$B$4:$B$1000)*1,[1]OUT_SyntheticFuels!J$4:J$1000)</f>
        <v>0.14145283068094999</v>
      </c>
    </row>
    <row r="2325" spans="2:11" x14ac:dyDescent="0.35">
      <c r="B2325" s="5" t="str">
        <f t="shared" si="1355"/>
        <v>SPS4</v>
      </c>
      <c r="C2325" s="5" t="str">
        <f t="shared" si="1346"/>
        <v>CH</v>
      </c>
      <c r="D2325" t="s">
        <v>2467</v>
      </c>
      <c r="E2325" t="s">
        <v>2157</v>
      </c>
      <c r="F2325" s="7" cm="1">
        <f t="array" ref="F2325">SUMPRODUCT(("SUP_WSTBIO"=[1]OUT_SyntheticFuels!$C$4:$C$1000)*1,("var_ncap"=[1]OUT_SyntheticFuels!$B$4:$B$1000)*1,[1]OUT_SyntheticFuels!E$4:E$1000)</f>
        <v>4.0981962484346402E-3</v>
      </c>
      <c r="G2325" s="7" cm="1">
        <f t="array" ref="G2325">SUMPRODUCT(("SUP_WSTBIO"=[1]OUT_SyntheticFuels!$C$4:$C$1000)*1,("var_ncap"=[1]OUT_SyntheticFuels!$B$4:$B$1000)*1,[1]OUT_SyntheticFuels!F$4:F$1000)</f>
        <v>2.2983918067510999E-2</v>
      </c>
      <c r="H2325" s="7" cm="1">
        <f t="array" ref="H2325">SUMPRODUCT(("SUP_WSTBIO"=[1]OUT_SyntheticFuels!$C$4:$C$1000)*1,("var_ncap"=[1]OUT_SyntheticFuels!$B$4:$B$1000)*1,[1]OUT_SyntheticFuels!G$4:G$1000)</f>
        <v>6.3658704703104502E-7</v>
      </c>
      <c r="I2325" s="7" cm="1">
        <f t="array" ref="I2325">SUMPRODUCT(("SUP_WSTBIO"=[1]OUT_SyntheticFuels!$C$4:$C$1000)*1,("var_ncap"=[1]OUT_SyntheticFuels!$B$4:$B$1000)*1,[1]OUT_SyntheticFuels!H$4:H$1000)</f>
        <v>7.2850472037625305E-2</v>
      </c>
      <c r="J2325" s="7" cm="1">
        <f t="array" ref="J2325">SUMPRODUCT(("SUP_WSTBIO"=[1]OUT_SyntheticFuels!$C$4:$C$1000)*1,("var_ncap"=[1]OUT_SyntheticFuels!$B$4:$B$1000)*1,[1]OUT_SyntheticFuels!I$4:I$1000)</f>
        <v>2.5512680171725199E-2</v>
      </c>
      <c r="K2325" s="7" cm="1">
        <f t="array" ref="K2325">SUMPRODUCT(("SUP_WSTBIO"=[1]OUT_SyntheticFuels!$C$4:$C$1000)*1,("var_ncap"=[1]OUT_SyntheticFuels!$B$4:$B$1000)*1,[1]OUT_SyntheticFuels!J$4:J$1000)</f>
        <v>0.18993646847950901</v>
      </c>
    </row>
    <row r="2326" spans="2:11" x14ac:dyDescent="0.35">
      <c r="B2326" s="5" t="str">
        <f t="shared" si="1355"/>
        <v>SPS4</v>
      </c>
      <c r="C2326" s="5" t="str">
        <f t="shared" si="1346"/>
        <v>CH</v>
      </c>
      <c r="D2326" t="s">
        <v>2468</v>
      </c>
      <c r="E2326" t="s">
        <v>2157</v>
      </c>
      <c r="F2326" s="7" cm="1">
        <f t="array" ref="F2326">SUMPRODUCT(("SUP_WSTBIOCCS"=[1]OUT_SyntheticFuels!$C$4:$C$1000)*1,("var_ncap"=[1]OUT_SyntheticFuels!$B$4:$B$1000)*1,[1]OUT_SyntheticFuels!E$4:E$1000)</f>
        <v>0</v>
      </c>
      <c r="G2326" s="7" cm="1">
        <f t="array" ref="G2326">SUMPRODUCT(("SUP_WSTBIOCCS"=[1]OUT_SyntheticFuels!$C$4:$C$1000)*1,("var_ncap"=[1]OUT_SyntheticFuels!$B$4:$B$1000)*1,[1]OUT_SyntheticFuels!F$4:F$1000)</f>
        <v>0</v>
      </c>
      <c r="H2326" s="7" cm="1">
        <f t="array" ref="H2326">SUMPRODUCT(("SUP_WSTBIOCCS"=[1]OUT_SyntheticFuels!$C$4:$C$1000)*1,("var_ncap"=[1]OUT_SyntheticFuels!$B$4:$B$1000)*1,[1]OUT_SyntheticFuels!G$4:G$1000)</f>
        <v>0</v>
      </c>
      <c r="I2326" s="7" cm="1">
        <f t="array" ref="I2326">SUMPRODUCT(("SUP_WSTBIOCCS"=[1]OUT_SyntheticFuels!$C$4:$C$1000)*1,("var_ncap"=[1]OUT_SyntheticFuels!$B$4:$B$1000)*1,[1]OUT_SyntheticFuels!H$4:H$1000)</f>
        <v>0</v>
      </c>
      <c r="J2326" s="7" cm="1">
        <f t="array" ref="J2326">SUMPRODUCT(("SUP_WSTBIOCCS"=[1]OUT_SyntheticFuels!$C$4:$C$1000)*1,("var_ncap"=[1]OUT_SyntheticFuels!$B$4:$B$1000)*1,[1]OUT_SyntheticFuels!I$4:I$1000)</f>
        <v>0</v>
      </c>
      <c r="K2326" s="7" cm="1">
        <f t="array" ref="K2326">SUMPRODUCT(("SUP_WSTBIOCCS"=[1]OUT_SyntheticFuels!$C$4:$C$1000)*1,("var_ncap"=[1]OUT_SyntheticFuels!$B$4:$B$1000)*1,[1]OUT_SyntheticFuels!J$4:J$1000)</f>
        <v>0</v>
      </c>
    </row>
    <row r="2327" spans="2:11" x14ac:dyDescent="0.35">
      <c r="B2327" s="5" t="str">
        <f t="shared" si="1355"/>
        <v>SPS4</v>
      </c>
      <c r="C2327" s="5" t="str">
        <f t="shared" si="1346"/>
        <v>CH</v>
      </c>
      <c r="D2327" t="s">
        <v>2469</v>
      </c>
      <c r="E2327" t="s">
        <v>2157</v>
      </c>
      <c r="F2327" s="7" cm="1">
        <f t="array" ref="F2327">SUMPRODUCT(("SUP_WSTHTGBIO"=[1]OUT_SyntheticFuels!$C$4:$C$1000)*1,("var_ncap"=[1]OUT_SyntheticFuels!$B$4:$B$1000)*1,[1]OUT_SyntheticFuels!E$4:E$1000)</f>
        <v>0</v>
      </c>
      <c r="G2327" s="7" cm="1">
        <f t="array" ref="G2327">SUMPRODUCT(("SUP_WSTHTGBIO"=[1]OUT_SyntheticFuels!$C$4:$C$1000)*1,("var_ncap"=[1]OUT_SyntheticFuels!$B$4:$B$1000)*1,[1]OUT_SyntheticFuels!F$4:F$1000)</f>
        <v>0</v>
      </c>
      <c r="H2327" s="7" cm="1">
        <f t="array" ref="H2327">SUMPRODUCT(("SUP_WSTHTGBIO"=[1]OUT_SyntheticFuels!$C$4:$C$1000)*1,("var_ncap"=[1]OUT_SyntheticFuels!$B$4:$B$1000)*1,[1]OUT_SyntheticFuels!G$4:G$1000)</f>
        <v>0</v>
      </c>
      <c r="I2327" s="7" cm="1">
        <f t="array" ref="I2327">SUMPRODUCT(("SUP_WSTHTGBIO"=[1]OUT_SyntheticFuels!$C$4:$C$1000)*1,("var_ncap"=[1]OUT_SyntheticFuels!$B$4:$B$1000)*1,[1]OUT_SyntheticFuels!H$4:H$1000)</f>
        <v>0</v>
      </c>
      <c r="J2327" s="7" cm="1">
        <f t="array" ref="J2327">SUMPRODUCT(("SUP_WSTHTGBIO"=[1]OUT_SyntheticFuels!$C$4:$C$1000)*1,("var_ncap"=[1]OUT_SyntheticFuels!$B$4:$B$1000)*1,[1]OUT_SyntheticFuels!I$4:I$1000)</f>
        <v>1.7523301444566399E-5</v>
      </c>
      <c r="K2327" s="7" cm="1">
        <f t="array" ref="K2327">SUMPRODUCT(("SUP_WSTHTGBIO"=[1]OUT_SyntheticFuels!$C$4:$C$1000)*1,("var_ncap"=[1]OUT_SyntheticFuels!$B$4:$B$1000)*1,[1]OUT_SyntheticFuels!J$4:J$1000)</f>
        <v>1.3547663292063101E-7</v>
      </c>
    </row>
    <row r="2328" spans="2:11" x14ac:dyDescent="0.35">
      <c r="B2328" s="5" t="str">
        <f t="shared" si="1355"/>
        <v>SPS4</v>
      </c>
      <c r="C2328" s="5" t="str">
        <f t="shared" si="1346"/>
        <v>CH</v>
      </c>
      <c r="D2328" t="s">
        <v>2470</v>
      </c>
      <c r="E2328" t="s">
        <v>2157</v>
      </c>
      <c r="F2328" s="7" cm="1">
        <f t="array" ref="F2328">SUMPRODUCT(("SUP_WSTHTGBIOCCS"=[1]OUT_SyntheticFuels!$C$4:$C$1000)*1,("var_ncap"=[1]OUT_SyntheticFuels!$B$4:$B$1000)*1,[1]OUT_SyntheticFuels!E$4:E$1000)</f>
        <v>0</v>
      </c>
      <c r="G2328" s="7" cm="1">
        <f t="array" ref="G2328">SUMPRODUCT(("SUP_WSTHTGBIOCCS"=[1]OUT_SyntheticFuels!$C$4:$C$1000)*1,("var_ncap"=[1]OUT_SyntheticFuels!$B$4:$B$1000)*1,[1]OUT_SyntheticFuels!F$4:F$1000)</f>
        <v>0</v>
      </c>
      <c r="H2328" s="7" cm="1">
        <f t="array" ref="H2328">SUMPRODUCT(("SUP_WSTHTGBIOCCS"=[1]OUT_SyntheticFuels!$C$4:$C$1000)*1,("var_ncap"=[1]OUT_SyntheticFuels!$B$4:$B$1000)*1,[1]OUT_SyntheticFuels!G$4:G$1000)</f>
        <v>0</v>
      </c>
      <c r="I2328" s="7" cm="1">
        <f t="array" ref="I2328">SUMPRODUCT(("SUP_WSTHTGBIOCCS"=[1]OUT_SyntheticFuels!$C$4:$C$1000)*1,("var_ncap"=[1]OUT_SyntheticFuels!$B$4:$B$1000)*1,[1]OUT_SyntheticFuels!H$4:H$1000)</f>
        <v>0</v>
      </c>
      <c r="J2328" s="7" cm="1">
        <f t="array" ref="J2328">SUMPRODUCT(("SUP_WSTHTGBIOCCS"=[1]OUT_SyntheticFuels!$C$4:$C$1000)*1,("var_ncap"=[1]OUT_SyntheticFuels!$B$4:$B$1000)*1,[1]OUT_SyntheticFuels!I$4:I$1000)</f>
        <v>0</v>
      </c>
      <c r="K2328" s="7" cm="1">
        <f t="array" ref="K2328">SUMPRODUCT(("SUP_WSTHTGBIOCCS"=[1]OUT_SyntheticFuels!$C$4:$C$1000)*1,("var_ncap"=[1]OUT_SyntheticFuels!$B$4:$B$1000)*1,[1]OUT_SyntheticFuels!J$4:J$1000)</f>
        <v>0</v>
      </c>
    </row>
    <row r="2329" spans="2:11" x14ac:dyDescent="0.35">
      <c r="B2329" s="5" t="str">
        <f t="shared" si="1355"/>
        <v>SPS4</v>
      </c>
      <c r="C2329" s="5" t="str">
        <f t="shared" si="1346"/>
        <v>CH</v>
      </c>
      <c r="D2329" t="s">
        <v>2471</v>
      </c>
      <c r="E2329" t="s">
        <v>2157</v>
      </c>
      <c r="F2329" s="7" cm="1">
        <f t="array" ref="F2329">SUMPRODUCT(("SUP_WODBIO"=[1]OUT_SyntheticFuels!$C$4:$C$1000)*1,("var_ncap"=[1]OUT_SyntheticFuels!$B$4:$B$1000)*1,[1]OUT_SyntheticFuels!E$4:E$1000)</f>
        <v>6.0828985177905802E-7</v>
      </c>
      <c r="G2329" s="7" cm="1">
        <f t="array" ref="G2329">SUMPRODUCT(("SUP_WODBIO"=[1]OUT_SyntheticFuels!$C$4:$C$1000)*1,("var_ncap"=[1]OUT_SyntheticFuels!$B$4:$B$1000)*1,[1]OUT_SyntheticFuels!F$4:F$1000)</f>
        <v>2.2945682387667898E-5</v>
      </c>
      <c r="H2329" s="7" cm="1">
        <f t="array" ref="H2329">SUMPRODUCT(("SUP_WODBIO"=[1]OUT_SyntheticFuels!$C$4:$C$1000)*1,("var_ncap"=[1]OUT_SyntheticFuels!$B$4:$B$1000)*1,[1]OUT_SyntheticFuels!G$4:G$1000)</f>
        <v>1.52452424388957E-6</v>
      </c>
      <c r="I2329" s="7" cm="1">
        <f t="array" ref="I2329">SUMPRODUCT(("SUP_WODBIO"=[1]OUT_SyntheticFuels!$C$4:$C$1000)*1,("var_ncap"=[1]OUT_SyntheticFuels!$B$4:$B$1000)*1,[1]OUT_SyntheticFuels!H$4:H$1000)</f>
        <v>4.3057937565401499E-7</v>
      </c>
      <c r="J2329" s="7" cm="1">
        <f t="array" ref="J2329">SUMPRODUCT(("SUP_WODBIO"=[1]OUT_SyntheticFuels!$C$4:$C$1000)*1,("var_ncap"=[1]OUT_SyntheticFuels!$B$4:$B$1000)*1,[1]OUT_SyntheticFuels!I$4:I$1000)</f>
        <v>5.7029072638246703E-6</v>
      </c>
      <c r="K2329" s="7" cm="1">
        <f t="array" ref="K2329">SUMPRODUCT(("SUP_WODBIO"=[1]OUT_SyntheticFuels!$C$4:$C$1000)*1,("var_ncap"=[1]OUT_SyntheticFuels!$B$4:$B$1000)*1,[1]OUT_SyntheticFuels!J$4:J$1000)</f>
        <v>6.03149993122853E-6</v>
      </c>
    </row>
    <row r="2330" spans="2:11" x14ac:dyDescent="0.35">
      <c r="B2330" s="5" t="str">
        <f t="shared" si="1355"/>
        <v>SPS4</v>
      </c>
      <c r="C2330" s="5" t="str">
        <f t="shared" si="1346"/>
        <v>CH</v>
      </c>
      <c r="D2330" t="s">
        <v>2472</v>
      </c>
      <c r="E2330" t="s">
        <v>2157</v>
      </c>
      <c r="F2330" s="7" cm="1">
        <f t="array" ref="F2330">SUMPRODUCT(("SUP_WODBIOCCS"=[1]OUT_SyntheticFuels!$C$4:$C$1000)*1,("var_ncap"=[1]OUT_SyntheticFuels!$B$4:$B$1000)*1,[1]OUT_SyntheticFuels!E$4:E$1000)</f>
        <v>0</v>
      </c>
      <c r="G2330" s="7" cm="1">
        <f t="array" ref="G2330">SUMPRODUCT(("SUP_WODBIOCCS"=[1]OUT_SyntheticFuels!$C$4:$C$1000)*1,("var_ncap"=[1]OUT_SyntheticFuels!$B$4:$B$1000)*1,[1]OUT_SyntheticFuels!F$4:F$1000)</f>
        <v>0</v>
      </c>
      <c r="H2330" s="7" cm="1">
        <f t="array" ref="H2330">SUMPRODUCT(("SUP_WODBIOCCS"=[1]OUT_SyntheticFuels!$C$4:$C$1000)*1,("var_ncap"=[1]OUT_SyntheticFuels!$B$4:$B$1000)*1,[1]OUT_SyntheticFuels!G$4:G$1000)</f>
        <v>0</v>
      </c>
      <c r="I2330" s="7" cm="1">
        <f t="array" ref="I2330">SUMPRODUCT(("SUP_WODBIOCCS"=[1]OUT_SyntheticFuels!$C$4:$C$1000)*1,("var_ncap"=[1]OUT_SyntheticFuels!$B$4:$B$1000)*1,[1]OUT_SyntheticFuels!H$4:H$1000)</f>
        <v>0</v>
      </c>
      <c r="J2330" s="7" cm="1">
        <f t="array" ref="J2330">SUMPRODUCT(("SUP_WODBIOCCS"=[1]OUT_SyntheticFuels!$C$4:$C$1000)*1,("var_ncap"=[1]OUT_SyntheticFuels!$B$4:$B$1000)*1,[1]OUT_SyntheticFuels!I$4:I$1000)</f>
        <v>0</v>
      </c>
      <c r="K2330" s="7" cm="1">
        <f t="array" ref="K2330">SUMPRODUCT(("SUP_WODBIOCCS"=[1]OUT_SyntheticFuels!$C$4:$C$1000)*1,("var_ncap"=[1]OUT_SyntheticFuels!$B$4:$B$1000)*1,[1]OUT_SyntheticFuels!J$4:J$1000)</f>
        <v>0</v>
      </c>
    </row>
    <row r="2331" spans="2:11" x14ac:dyDescent="0.35">
      <c r="B2331" s="5" t="str">
        <f t="shared" si="1355"/>
        <v>SPS4</v>
      </c>
      <c r="C2331" s="5" t="str">
        <f t="shared" si="1346"/>
        <v>CH</v>
      </c>
      <c r="D2331" t="s">
        <v>2473</v>
      </c>
      <c r="E2331" t="s">
        <v>2157</v>
      </c>
      <c r="F2331" s="7" cm="1">
        <f t="array" ref="F2331">SUMPRODUCT(("SUP_BIONGA"=[1]OUT_SyntheticFuels!$C$4:$C$1000)*1,("var_ncap"=[1]OUT_SyntheticFuels!$B$4:$B$1000)*1,[1]OUT_SyntheticFuels!E$4:E$1000)</f>
        <v>1.4370127482521601E-2</v>
      </c>
      <c r="G2331" s="7" cm="1">
        <f t="array" ref="G2331">SUMPRODUCT(("SUP_BIONGA"=[1]OUT_SyntheticFuels!$C$4:$C$1000)*1,("var_ncap"=[1]OUT_SyntheticFuels!$B$4:$B$1000)*1,[1]OUT_SyntheticFuels!F$4:F$1000)</f>
        <v>8.2252814079464304E-2</v>
      </c>
      <c r="H2331" s="7" cm="1">
        <f t="array" ref="H2331">SUMPRODUCT(("SUP_BIONGA"=[1]OUT_SyntheticFuels!$C$4:$C$1000)*1,("var_ncap"=[1]OUT_SyntheticFuels!$B$4:$B$1000)*1,[1]OUT_SyntheticFuels!G$4:G$1000)</f>
        <v>2.5244794833831902E-7</v>
      </c>
      <c r="I2331" s="7" cm="1">
        <f t="array" ref="I2331">SUMPRODUCT(("SUP_BIONGA"=[1]OUT_SyntheticFuels!$C$4:$C$1000)*1,("var_ncap"=[1]OUT_SyntheticFuels!$B$4:$B$1000)*1,[1]OUT_SyntheticFuels!H$4:H$1000)</f>
        <v>2.8967210394944699E-7</v>
      </c>
      <c r="J2331" s="7" cm="1">
        <f t="array" ref="J2331">SUMPRODUCT(("SUP_BIONGA"=[1]OUT_SyntheticFuels!$C$4:$C$1000)*1,("var_ncap"=[1]OUT_SyntheticFuels!$B$4:$B$1000)*1,[1]OUT_SyntheticFuels!I$4:I$1000)</f>
        <v>5.0749866763124998E-2</v>
      </c>
      <c r="K2331" s="7" cm="1">
        <f t="array" ref="K2331">SUMPRODUCT(("SUP_BIONGA"=[1]OUT_SyntheticFuels!$C$4:$C$1000)*1,("var_ncap"=[1]OUT_SyntheticFuels!$B$4:$B$1000)*1,[1]OUT_SyntheticFuels!J$4:J$1000)</f>
        <v>4.8773686917135399E-2</v>
      </c>
    </row>
    <row r="2332" spans="2:11" x14ac:dyDescent="0.35">
      <c r="B2332" s="5" t="str">
        <f t="shared" si="1355"/>
        <v>SPS4</v>
      </c>
      <c r="C2332" s="5" t="str">
        <f t="shared" si="1346"/>
        <v>CH</v>
      </c>
      <c r="D2332" t="s">
        <v>2474</v>
      </c>
      <c r="E2332" t="s">
        <v>2157</v>
      </c>
      <c r="F2332" s="7" cm="1">
        <f t="array" ref="F2332">SUMPRODUCT(("CT_CWODPLT"=[1]OUT_SyntheticFuels!$C$4:$C$1000)*1,("var_ncap"=[1]OUT_SyntheticFuels!$B$4:$B$1000)*1,[1]OUT_SyntheticFuels!E$4:E$1000)</f>
        <v>0.15311796836099001</v>
      </c>
      <c r="G2332" s="7" cm="1">
        <f t="array" ref="G2332">SUMPRODUCT(("CT_CWODPLT"=[1]OUT_SyntheticFuels!$C$4:$C$1000)*1,("var_ncap"=[1]OUT_SyntheticFuels!$B$4:$B$1000)*1,[1]OUT_SyntheticFuels!F$4:F$1000)</f>
        <v>5.4497251137904101E-2</v>
      </c>
      <c r="H2332" s="7" cm="1">
        <f t="array" ref="H2332">SUMPRODUCT(("CT_CWODPLT"=[1]OUT_SyntheticFuels!$C$4:$C$1000)*1,("var_ncap"=[1]OUT_SyntheticFuels!$B$4:$B$1000)*1,[1]OUT_SyntheticFuels!G$4:G$1000)</f>
        <v>8.3523029986854999E-7</v>
      </c>
      <c r="I2332" s="7" cm="1">
        <f t="array" ref="I2332">SUMPRODUCT(("CT_CWODPLT"=[1]OUT_SyntheticFuels!$C$4:$C$1000)*1,("var_ncap"=[1]OUT_SyntheticFuels!$B$4:$B$1000)*1,[1]OUT_SyntheticFuels!H$4:H$1000)</f>
        <v>9.2559546786656505E-7</v>
      </c>
      <c r="J2332" s="7" cm="1">
        <f t="array" ref="J2332">SUMPRODUCT(("CT_CWODPLT"=[1]OUT_SyntheticFuels!$C$4:$C$1000)*1,("var_ncap"=[1]OUT_SyntheticFuels!$B$4:$B$1000)*1,[1]OUT_SyntheticFuels!I$4:I$1000)</f>
        <v>0.131607857246995</v>
      </c>
      <c r="K2332" s="7" cm="1">
        <f t="array" ref="K2332">SUMPRODUCT(("CT_CWODPLT"=[1]OUT_SyntheticFuels!$C$4:$C$1000)*1,("var_ncap"=[1]OUT_SyntheticFuels!$B$4:$B$1000)*1,[1]OUT_SyntheticFuels!J$4:J$1000)</f>
        <v>0.113194951650953</v>
      </c>
    </row>
    <row r="2333" spans="2:11" x14ac:dyDescent="0.35">
      <c r="B2333" s="5" t="str">
        <f t="shared" si="1355"/>
        <v>SPS4</v>
      </c>
      <c r="C2333" s="5" t="str">
        <f t="shared" si="1346"/>
        <v>CH</v>
      </c>
      <c r="D2333" t="s">
        <v>2475</v>
      </c>
      <c r="E2333" t="s">
        <v>2157</v>
      </c>
      <c r="F2333" s="7" cm="1">
        <f t="array" ref="F2333">SUMPRODUCT(("SUP_H2NGA"=[1]OUT_SyntheticFuels!$C$4:$C$1000)*1,("var_ncap"=[1]OUT_SyntheticFuels!$B$4:$B$1000)*1,[1]OUT_SyntheticFuels!E$4:E$1000)</f>
        <v>0</v>
      </c>
      <c r="G2333" s="7" cm="1">
        <f t="array" ref="G2333">SUMPRODUCT(("SUP_H2NGA"=[1]OUT_SyntheticFuels!$C$4:$C$1000)*1,("var_ncap"=[1]OUT_SyntheticFuels!$B$4:$B$1000)*1,[1]OUT_SyntheticFuels!F$4:F$1000)</f>
        <v>0</v>
      </c>
      <c r="H2333" s="7" cm="1">
        <f t="array" ref="H2333">SUMPRODUCT(("SUP_H2NGA"=[1]OUT_SyntheticFuels!$C$4:$C$1000)*1,("var_ncap"=[1]OUT_SyntheticFuels!$B$4:$B$1000)*1,[1]OUT_SyntheticFuels!G$4:G$1000)</f>
        <v>0</v>
      </c>
      <c r="I2333" s="7" cm="1">
        <f t="array" ref="I2333">SUMPRODUCT(("SUP_H2NGA"=[1]OUT_SyntheticFuels!$C$4:$C$1000)*1,("var_ncap"=[1]OUT_SyntheticFuels!$B$4:$B$1000)*1,[1]OUT_SyntheticFuels!H$4:H$1000)</f>
        <v>3.5885686528982099E-7</v>
      </c>
      <c r="J2333" s="7" cm="1">
        <f t="array" ref="J2333">SUMPRODUCT(("SUP_H2NGA"=[1]OUT_SyntheticFuels!$C$4:$C$1000)*1,("var_ncap"=[1]OUT_SyntheticFuels!$B$4:$B$1000)*1,[1]OUT_SyntheticFuels!I$4:I$1000)</f>
        <v>1.00202544333241E-6</v>
      </c>
      <c r="K2333" s="7" cm="1">
        <f t="array" ref="K2333">SUMPRODUCT(("SUP_H2NGA"=[1]OUT_SyntheticFuels!$C$4:$C$1000)*1,("var_ncap"=[1]OUT_SyntheticFuels!$B$4:$B$1000)*1,[1]OUT_SyntheticFuels!J$4:J$1000)</f>
        <v>7.6760348234437998E-7</v>
      </c>
    </row>
    <row r="2334" spans="2:11" x14ac:dyDescent="0.35">
      <c r="B2334" s="5" t="str">
        <f t="shared" si="1355"/>
        <v>SPS4</v>
      </c>
      <c r="C2334" s="5" t="str">
        <f t="shared" si="1346"/>
        <v>CH</v>
      </c>
      <c r="D2334" t="s">
        <v>2476</v>
      </c>
      <c r="E2334" t="s">
        <v>2157</v>
      </c>
      <c r="F2334" s="7" cm="1">
        <f t="array" ref="F2334">SUMPRODUCT(("SUP_H2DSL"=[1]OUT_SyntheticFuels!$C$4:$C$1000)*1,("var_ncap"=[1]OUT_SyntheticFuels!$B$4:$B$1000)*1,[1]OUT_SyntheticFuels!E$4:E$1000)</f>
        <v>0</v>
      </c>
      <c r="G2334" s="7" cm="1">
        <f t="array" ref="G2334">SUMPRODUCT(("SUP_H2DSL"=[1]OUT_SyntheticFuels!$C$4:$C$1000)*1,("var_ncap"=[1]OUT_SyntheticFuels!$B$4:$B$1000)*1,[1]OUT_SyntheticFuels!F$4:F$1000)</f>
        <v>0</v>
      </c>
      <c r="H2334" s="7" cm="1">
        <f t="array" ref="H2334">SUMPRODUCT(("SUP_H2DSL"=[1]OUT_SyntheticFuels!$C$4:$C$1000)*1,("var_ncap"=[1]OUT_SyntheticFuels!$B$4:$B$1000)*1,[1]OUT_SyntheticFuels!G$4:G$1000)</f>
        <v>0</v>
      </c>
      <c r="I2334" s="7" cm="1">
        <f t="array" ref="I2334">SUMPRODUCT(("SUP_H2DSL"=[1]OUT_SyntheticFuels!$C$4:$C$1000)*1,("var_ncap"=[1]OUT_SyntheticFuels!$B$4:$B$1000)*1,[1]OUT_SyntheticFuels!H$4:H$1000)</f>
        <v>4.9050075262296497E-7</v>
      </c>
      <c r="J2334" s="7" cm="1">
        <f t="array" ref="J2334">SUMPRODUCT(("SUP_H2DSL"=[1]OUT_SyntheticFuels!$C$4:$C$1000)*1,("var_ncap"=[1]OUT_SyntheticFuels!$B$4:$B$1000)*1,[1]OUT_SyntheticFuels!I$4:I$1000)</f>
        <v>1.1723185558071901E-6</v>
      </c>
      <c r="K2334" s="7" cm="1">
        <f t="array" ref="K2334">SUMPRODUCT(("SUP_H2DSL"=[1]OUT_SyntheticFuels!$C$4:$C$1000)*1,("var_ncap"=[1]OUT_SyntheticFuels!$B$4:$B$1000)*1,[1]OUT_SyntheticFuels!J$4:J$1000)</f>
        <v>9.3349528690303801E-7</v>
      </c>
    </row>
    <row r="2335" spans="2:11" x14ac:dyDescent="0.35">
      <c r="B2335" s="5" t="str">
        <f t="shared" si="1355"/>
        <v>SPS4</v>
      </c>
      <c r="C2335" s="5" t="str">
        <f t="shared" si="1346"/>
        <v>CH</v>
      </c>
      <c r="D2335" t="s">
        <v>2477</v>
      </c>
      <c r="E2335" t="s">
        <v>2157</v>
      </c>
      <c r="F2335" s="7" cm="1">
        <f t="array" ref="F2335">SUMPRODUCT(("SUP_H2GSL"=[1]OUT_SyntheticFuels!$C$4:$C$1000)*1,("var_ncap"=[1]OUT_SyntheticFuels!$B$4:$B$1000)*1,[1]OUT_SyntheticFuels!E$4:E$1000)</f>
        <v>0</v>
      </c>
      <c r="G2335" s="7" cm="1">
        <f t="array" ref="G2335">SUMPRODUCT(("SUP_H2GSL"=[1]OUT_SyntheticFuels!$C$4:$C$1000)*1,("var_ncap"=[1]OUT_SyntheticFuels!$B$4:$B$1000)*1,[1]OUT_SyntheticFuels!F$4:F$1000)</f>
        <v>0</v>
      </c>
      <c r="H2335" s="7" cm="1">
        <f t="array" ref="H2335">SUMPRODUCT(("SUP_H2GSL"=[1]OUT_SyntheticFuels!$C$4:$C$1000)*1,("var_ncap"=[1]OUT_SyntheticFuels!$B$4:$B$1000)*1,[1]OUT_SyntheticFuels!G$4:G$1000)</f>
        <v>0</v>
      </c>
      <c r="I2335" s="7" cm="1">
        <f t="array" ref="I2335">SUMPRODUCT(("SUP_H2GSL"=[1]OUT_SyntheticFuels!$C$4:$C$1000)*1,("var_ncap"=[1]OUT_SyntheticFuels!$B$4:$B$1000)*1,[1]OUT_SyntheticFuels!H$4:H$1000)</f>
        <v>4.6197214996878802E-7</v>
      </c>
      <c r="J2335" s="7" cm="1">
        <f t="array" ref="J2335">SUMPRODUCT(("SUP_H2GSL"=[1]OUT_SyntheticFuels!$C$4:$C$1000)*1,("var_ncap"=[1]OUT_SyntheticFuels!$B$4:$B$1000)*1,[1]OUT_SyntheticFuels!I$4:I$1000)</f>
        <v>1.02323015450256E-6</v>
      </c>
      <c r="K2335" s="7" cm="1">
        <f t="array" ref="K2335">SUMPRODUCT(("SUP_H2GSL"=[1]OUT_SyntheticFuels!$C$4:$C$1000)*1,("var_ncap"=[1]OUT_SyntheticFuels!$B$4:$B$1000)*1,[1]OUT_SyntheticFuels!J$4:J$1000)</f>
        <v>7.6209750446344701E-7</v>
      </c>
    </row>
  </sheetData>
  <sortState xmlns:xlrd2="http://schemas.microsoft.com/office/spreadsheetml/2017/richdata2" ref="D1572:D1574">
    <sortCondition ref="D1572:D1574"/>
  </sortState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dimension ref="B2:H16"/>
  <sheetViews>
    <sheetView showGridLines="0" workbookViewId="0">
      <selection activeCell="B14" sqref="B14"/>
    </sheetView>
  </sheetViews>
  <sheetFormatPr defaultRowHeight="15.5" x14ac:dyDescent="0.35"/>
  <cols>
    <col min="2" max="2" width="36.58203125" bestFit="1" customWidth="1"/>
    <col min="3" max="3" width="9.4140625" bestFit="1" customWidth="1"/>
  </cols>
  <sheetData>
    <row r="2" spans="2:8" x14ac:dyDescent="0.3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35">
      <c r="B3" s="2" t="s">
        <v>1720</v>
      </c>
      <c r="C3" s="3">
        <f>SUM(C4:C7)</f>
        <v>716.18668058986032</v>
      </c>
      <c r="D3" s="3">
        <f t="shared" ref="D3:H3" si="0">SUM(D4:D7)</f>
        <v>703.7745412299621</v>
      </c>
      <c r="E3" s="3">
        <f t="shared" si="0"/>
        <v>687.20692571433437</v>
      </c>
      <c r="F3" s="3">
        <f t="shared" si="0"/>
        <v>643.84258708277434</v>
      </c>
      <c r="G3" s="3">
        <f t="shared" si="0"/>
        <v>594.54945701981774</v>
      </c>
      <c r="H3" s="3">
        <f t="shared" si="0"/>
        <v>566.27643979940603</v>
      </c>
    </row>
    <row r="4" spans="2:8" x14ac:dyDescent="0.35">
      <c r="B4" s="25" t="s">
        <v>1728</v>
      </c>
      <c r="C4" s="1">
        <f>'SPS4'!F761</f>
        <v>142.21776438398305</v>
      </c>
      <c r="D4" s="1">
        <f>'SPS4'!G761</f>
        <v>141.18303319151204</v>
      </c>
      <c r="E4" s="1">
        <f>'SPS4'!H761</f>
        <v>142.87529749181084</v>
      </c>
      <c r="F4" s="1">
        <f>'SPS4'!I761</f>
        <v>144.16666334101126</v>
      </c>
      <c r="G4" s="1">
        <f>'SPS4'!J761</f>
        <v>141.26248603416616</v>
      </c>
      <c r="H4" s="1">
        <f>'SPS4'!K761</f>
        <v>139.64053810557388</v>
      </c>
    </row>
    <row r="5" spans="2:8" x14ac:dyDescent="0.35">
      <c r="B5" s="25" t="s">
        <v>1729</v>
      </c>
      <c r="C5" s="1">
        <f>'SPS4'!F880</f>
        <v>140.10121131441858</v>
      </c>
      <c r="D5" s="1">
        <f>'SPS4'!G880</f>
        <v>139.64794156158999</v>
      </c>
      <c r="E5" s="1">
        <f>'SPS4'!H880</f>
        <v>133.57022269424343</v>
      </c>
      <c r="F5" s="1">
        <f>'SPS4'!I880</f>
        <v>128.78420029902784</v>
      </c>
      <c r="G5" s="1">
        <f>'SPS4'!J880</f>
        <v>121.33777638070804</v>
      </c>
      <c r="H5" s="1">
        <f>'SPS4'!K880</f>
        <v>113.62549273281392</v>
      </c>
    </row>
    <row r="6" spans="2:8" x14ac:dyDescent="0.35">
      <c r="B6" s="25" t="s">
        <v>1730</v>
      </c>
      <c r="C6" s="1">
        <f>'SPS4'!F970</f>
        <v>219.89495421484719</v>
      </c>
      <c r="D6" s="1">
        <f>'SPS4'!G970</f>
        <v>217.37166530943185</v>
      </c>
      <c r="E6" s="1">
        <f>'SPS4'!H970</f>
        <v>220.43392185863385</v>
      </c>
      <c r="F6" s="1">
        <f>'SPS4'!I970</f>
        <v>211.31443995459256</v>
      </c>
      <c r="G6" s="1">
        <f>'SPS4'!J970</f>
        <v>199.89894036602684</v>
      </c>
      <c r="H6" s="1">
        <f>'SPS4'!K970</f>
        <v>190.99293088543195</v>
      </c>
    </row>
    <row r="7" spans="2:8" x14ac:dyDescent="0.35">
      <c r="B7" s="25" t="s">
        <v>1731</v>
      </c>
      <c r="C7" s="1">
        <f>'SPS4'!F1134+'SPS4'!F1313+'SPS4'!F1397+'SPS4'!F1481+'SPS4'!F1488+'SPS4'!F1495+'SPS4'!F1544+'SPS4'!F1591+'SPS4'!F1638</f>
        <v>213.97275067661153</v>
      </c>
      <c r="D7" s="1">
        <f>'SPS4'!G1134+'SPS4'!G1313+'SPS4'!G1397+'SPS4'!G1481+'SPS4'!G1488+'SPS4'!G1495+'SPS4'!G1544+'SPS4'!G1591+'SPS4'!G1638</f>
        <v>205.57190116742828</v>
      </c>
      <c r="E7" s="1">
        <f>'SPS4'!H1134+'SPS4'!H1313+'SPS4'!H1397+'SPS4'!H1481+'SPS4'!H1488+'SPS4'!H1495+'SPS4'!H1544+'SPS4'!H1591+'SPS4'!H1638</f>
        <v>190.32748366964626</v>
      </c>
      <c r="F7" s="1">
        <f>'SPS4'!I1134+'SPS4'!I1313+'SPS4'!I1397+'SPS4'!I1481+'SPS4'!I1488+'SPS4'!I1495+'SPS4'!I1544+'SPS4'!I1591+'SPS4'!I1638</f>
        <v>159.57728348814268</v>
      </c>
      <c r="G7" s="1">
        <f>'SPS4'!J1134+'SPS4'!J1313+'SPS4'!J1397+'SPS4'!J1481+'SPS4'!J1488+'SPS4'!J1495+'SPS4'!J1544+'SPS4'!J1591+'SPS4'!J1638</f>
        <v>132.05025423891681</v>
      </c>
      <c r="H7" s="1">
        <f>'SPS4'!K1134+'SPS4'!K1313+'SPS4'!K1397+'SPS4'!K1481+'SPS4'!K1488+'SPS4'!K1495+'SPS4'!K1544+'SPS4'!K1591+'SPS4'!K1638</f>
        <v>122.01747807558624</v>
      </c>
    </row>
    <row r="8" spans="2:8" x14ac:dyDescent="0.35">
      <c r="B8" s="2" t="s">
        <v>1736</v>
      </c>
      <c r="C8" s="3">
        <f>SUM(C9:C12)</f>
        <v>509.62636855464058</v>
      </c>
      <c r="D8" s="3">
        <f t="shared" ref="D8:H8" si="1">SUM(D9:D12)</f>
        <v>498.78588709248078</v>
      </c>
      <c r="E8" s="3">
        <f t="shared" si="1"/>
        <v>522.66118608388183</v>
      </c>
      <c r="F8" s="3">
        <f t="shared" si="1"/>
        <v>506.88996509496513</v>
      </c>
      <c r="G8" s="3">
        <f t="shared" si="1"/>
        <v>431.51534399952112</v>
      </c>
      <c r="H8" s="3">
        <f t="shared" si="1"/>
        <v>390.47035904540394</v>
      </c>
    </row>
    <row r="9" spans="2:8" x14ac:dyDescent="0.35">
      <c r="B9" s="25" t="s">
        <v>1733</v>
      </c>
      <c r="C9" s="1">
        <f>'SPS4'!F289+'SPS4'!F407</f>
        <v>493.47801955951371</v>
      </c>
      <c r="D9" s="1">
        <f>'SPS4'!G289+'SPS4'!G407</f>
        <v>475.48484132563965</v>
      </c>
      <c r="E9" s="1">
        <f>'SPS4'!H289+'SPS4'!H407</f>
        <v>495.45877907753851</v>
      </c>
      <c r="F9" s="1">
        <f>'SPS4'!I289+'SPS4'!I407</f>
        <v>483.62285384004832</v>
      </c>
      <c r="G9" s="1">
        <f>'SPS4'!J289+'SPS4'!J407</f>
        <v>406.21936418046459</v>
      </c>
      <c r="H9" s="1">
        <f>'SPS4'!K289+'SPS4'!K407</f>
        <v>356.49655025336267</v>
      </c>
    </row>
    <row r="10" spans="2:8" x14ac:dyDescent="0.35">
      <c r="B10" s="25" t="s">
        <v>1734</v>
      </c>
      <c r="C10" s="1">
        <f>'SPS4'!F588+'SPS4'!F602+'SPS4'!F642</f>
        <v>16.143486736375763</v>
      </c>
      <c r="D10" s="1">
        <f>'SPS4'!G588+'SPS4'!G602+'SPS4'!G642</f>
        <v>23.293873599976298</v>
      </c>
      <c r="E10" s="1">
        <f>'SPS4'!H588+'SPS4'!H602+'SPS4'!H642</f>
        <v>27.19085110447574</v>
      </c>
      <c r="F10" s="1">
        <f>'SPS4'!I588+'SPS4'!I602+'SPS4'!I642</f>
        <v>23.233443051083707</v>
      </c>
      <c r="G10" s="1">
        <f>'SPS4'!J588+'SPS4'!J602+'SPS4'!J642</f>
        <v>25.028291049884213</v>
      </c>
      <c r="H10" s="1">
        <f>'SPS4'!K588+'SPS4'!K602+'SPS4'!K642</f>
        <v>33.718930548415663</v>
      </c>
    </row>
    <row r="11" spans="2:8" x14ac:dyDescent="0.35">
      <c r="B11" s="25" t="s">
        <v>1732</v>
      </c>
      <c r="C11" s="1">
        <f>'SPS4'!F677</f>
        <v>4.8622587510492189E-3</v>
      </c>
      <c r="D11" s="1">
        <f>'SPS4'!G677</f>
        <v>7.1721668648743265E-3</v>
      </c>
      <c r="E11" s="1">
        <f>'SPS4'!H677</f>
        <v>1.1555901867595959E-2</v>
      </c>
      <c r="F11" s="1">
        <f>'SPS4'!I677</f>
        <v>3.3668203833067949E-2</v>
      </c>
      <c r="G11" s="1">
        <f>'SPS4'!J677</f>
        <v>0.26768876917231049</v>
      </c>
      <c r="H11" s="1">
        <f>'SPS4'!K677</f>
        <v>0.25487824362563571</v>
      </c>
    </row>
    <row r="12" spans="2:8" x14ac:dyDescent="0.35">
      <c r="B12" s="25" t="s">
        <v>1735</v>
      </c>
      <c r="C12" s="1">
        <f>'SPS4'!F1702</f>
        <v>0</v>
      </c>
      <c r="D12" s="1">
        <f>'SPS4'!G1702</f>
        <v>0</v>
      </c>
      <c r="E12" s="1">
        <f>'SPS4'!H1702</f>
        <v>0</v>
      </c>
      <c r="F12" s="1">
        <f>'SPS4'!I1702</f>
        <v>0</v>
      </c>
      <c r="G12" s="1">
        <f>'SPS4'!J1702</f>
        <v>0</v>
      </c>
      <c r="H12" s="1">
        <f>'SPS4'!K1702</f>
        <v>0</v>
      </c>
    </row>
    <row r="13" spans="2:8" x14ac:dyDescent="0.35">
      <c r="B13" s="2" t="s">
        <v>1737</v>
      </c>
      <c r="C13" s="3">
        <f>'SPS4'!F2+'SPS4'!F20-'SPS4'!F55</f>
        <v>962.52194353088169</v>
      </c>
      <c r="D13" s="3">
        <f>'SPS4'!G2+'SPS4'!G20-'SPS4'!G55</f>
        <v>960.71259111232757</v>
      </c>
      <c r="E13" s="3">
        <f>'SPS4'!H2+'SPS4'!H20-'SPS4'!H55</f>
        <v>944.75747633488186</v>
      </c>
      <c r="F13" s="3">
        <f>'SPS4'!I2+'SPS4'!I20-'SPS4'!I55</f>
        <v>874.46564623323968</v>
      </c>
      <c r="G13" s="3">
        <f>'SPS4'!J2+'SPS4'!J20-'SPS4'!J55</f>
        <v>755.59895545129064</v>
      </c>
      <c r="H13" s="3">
        <f>'SPS4'!K2+'SPS4'!K20-'SPS4'!K55</f>
        <v>671.19023027032836</v>
      </c>
    </row>
    <row r="14" spans="2:8" x14ac:dyDescent="0.35">
      <c r="B14" s="25" t="s">
        <v>1738</v>
      </c>
      <c r="C14" s="1">
        <f>'SPS4'!F2</f>
        <v>300.18638737425653</v>
      </c>
      <c r="D14" s="1">
        <f>'SPS4'!G2</f>
        <v>294.04758358048866</v>
      </c>
      <c r="E14" s="1">
        <f>'SPS4'!H2</f>
        <v>370.47745708308264</v>
      </c>
      <c r="F14" s="1">
        <f>'SPS4'!I2</f>
        <v>361.01551780542218</v>
      </c>
      <c r="G14" s="1">
        <f>'SPS4'!J2</f>
        <v>404.52039827276542</v>
      </c>
      <c r="H14" s="1">
        <f>'SPS4'!K2</f>
        <v>448.78002620525035</v>
      </c>
    </row>
    <row r="15" spans="2:8" x14ac:dyDescent="0.35">
      <c r="B15" s="25" t="s">
        <v>19</v>
      </c>
      <c r="C15" s="1">
        <f>'SPS4'!F20</f>
        <v>779.50557803444951</v>
      </c>
      <c r="D15" s="1">
        <f>'SPS4'!G20</f>
        <v>702.13550662272496</v>
      </c>
      <c r="E15" s="1">
        <f>'SPS4'!H20</f>
        <v>629.06585750277338</v>
      </c>
      <c r="F15" s="1">
        <f>'SPS4'!I20</f>
        <v>569.1091629638903</v>
      </c>
      <c r="G15" s="1">
        <f>'SPS4'!J20</f>
        <v>370.77429291816225</v>
      </c>
      <c r="H15" s="1">
        <f>'SPS4'!K20</f>
        <v>236.54661148810968</v>
      </c>
    </row>
    <row r="16" spans="2:8" x14ac:dyDescent="0.35">
      <c r="B16" s="25" t="s">
        <v>24</v>
      </c>
      <c r="C16" s="1">
        <f>'SPS4'!F55</f>
        <v>117.17002187782433</v>
      </c>
      <c r="D16" s="1">
        <f>'SPS4'!G55</f>
        <v>35.470499090886037</v>
      </c>
      <c r="E16" s="1">
        <f>'SPS4'!H55</f>
        <v>54.785838250974138</v>
      </c>
      <c r="F16" s="1">
        <f>'SPS4'!I55</f>
        <v>55.659034536072774</v>
      </c>
      <c r="G16" s="1">
        <f>'SPS4'!J55</f>
        <v>19.695735739637048</v>
      </c>
      <c r="H16" s="1">
        <f>'SPS4'!K55</f>
        <v>14.136407423031608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3C8C03ABD37349B85E16C79D0BC86D" ma:contentTypeVersion="15" ma:contentTypeDescription="Create a new document." ma:contentTypeScope="" ma:versionID="e0c4c809cdd1f4d681ffe254c15b0eea">
  <xsd:schema xmlns:xsd="http://www.w3.org/2001/XMLSchema" xmlns:xs="http://www.w3.org/2001/XMLSchema" xmlns:p="http://schemas.microsoft.com/office/2006/metadata/properties" xmlns:ns2="e295f8eb-68fd-485a-b496-2dea93c33955" xmlns:ns3="87741f5d-aecd-4848-a292-3dd6d2ed684b" targetNamespace="http://schemas.microsoft.com/office/2006/metadata/properties" ma:root="true" ma:fieldsID="474854dce0ec48aabc248446e7a68ac4" ns2:_="" ns3:_="">
    <xsd:import namespace="e295f8eb-68fd-485a-b496-2dea93c33955"/>
    <xsd:import namespace="87741f5d-aecd-4848-a292-3dd6d2ed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5f8eb-68fd-485a-b496-2dea93c3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74db9c-dc52-4677-9c7e-908c2cd617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41f5d-aecd-4848-a292-3dd6d2ed68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5f5e8e-ac30-471d-9cc1-863a960338b4}" ma:internalName="TaxCatchAll" ma:showField="CatchAllData" ma:web="87741f5d-aecd-4848-a292-3dd6d2ed6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5f8eb-68fd-485a-b496-2dea93c33955">
      <Terms xmlns="http://schemas.microsoft.com/office/infopath/2007/PartnerControls"/>
    </lcf76f155ced4ddcb4097134ff3c332f>
    <TaxCatchAll xmlns="87741f5d-aecd-4848-a292-3dd6d2ed684b" xsi:nil="true"/>
  </documentManagement>
</p:properties>
</file>

<file path=customXml/itemProps1.xml><?xml version="1.0" encoding="utf-8"?>
<ds:datastoreItem xmlns:ds="http://schemas.openxmlformats.org/officeDocument/2006/customXml" ds:itemID="{8AA4A69E-B80F-476C-A90E-D0145B0F4516}"/>
</file>

<file path=customXml/itemProps2.xml><?xml version="1.0" encoding="utf-8"?>
<ds:datastoreItem xmlns:ds="http://schemas.openxmlformats.org/officeDocument/2006/customXml" ds:itemID="{D5073BF0-B7EF-4262-8E2E-9FC751690B9E}"/>
</file>

<file path=customXml/itemProps3.xml><?xml version="1.0" encoding="utf-8"?>
<ds:datastoreItem xmlns:ds="http://schemas.openxmlformats.org/officeDocument/2006/customXml" ds:itemID="{D4932FC6-0C99-46ED-A6DB-F506E7A89AD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SPS4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Panos, Evangelos</cp:lastModifiedBy>
  <dcterms:created xsi:type="dcterms:W3CDTF">2023-01-16T15:31:56Z</dcterms:created>
  <dcterms:modified xsi:type="dcterms:W3CDTF">2025-09-28T17:43:32Z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0x010100E43C8C03ABD37349B85E16C79D0BC86D</vt:lpwstr>
  </property>
</Properties>
</file>